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.sharepoint.com/sites/SystemBudgetOffice/Shared Documents/Budgets/2024-25_Budget/2024-25_January_Budget/2024-25-Preliminary-Budget-Allocations/"/>
    </mc:Choice>
  </mc:AlternateContent>
  <xr:revisionPtr revIDLastSave="483" documentId="8_{07713601-0D97-4BD0-8955-D88A5F6070AB}" xr6:coauthVersionLast="47" xr6:coauthVersionMax="47" xr10:uidLastSave="{7D5CEBE9-19F1-4D3E-B783-E60B4BE825C4}"/>
  <bookViews>
    <workbookView xWindow="-120" yWindow="-120" windowWidth="29040" windowHeight="15840" tabRatio="840" xr2:uid="{00000000-000D-0000-FFFF-FFFF00000000}"/>
  </bookViews>
  <sheets>
    <sheet name="Attach A-Summary" sheetId="6" r:id="rId1"/>
    <sheet name="Attach B-Rev to Expenditures" sheetId="11" r:id="rId2"/>
    <sheet name="Attach C-ExpenditureAdjustments" sheetId="7" r:id="rId3"/>
    <sheet name="Attach C-ExpenditureAdjust wNRT" sheetId="22" state="hidden" r:id="rId4"/>
    <sheet name="Attach D-Enroll + Tuition&amp;Fees" sheetId="18" r:id="rId5"/>
    <sheet name="Attach E-SUG" sheetId="15" r:id="rId6"/>
    <sheet name="Attach F-Lottery" sheetId="19" r:id="rId7"/>
    <sheet name="Attach G-Compensation-Reference" sheetId="23" r:id="rId8"/>
  </sheets>
  <definedNames>
    <definedName name="_xlnm.Print_Area" localSheetId="0">'Attach A-Summary'!$A$1:$K$37</definedName>
    <definedName name="_xlnm.Print_Area" localSheetId="1">'Attach B-Rev to Expenditures'!$A$1:$K$35</definedName>
    <definedName name="_xlnm.Print_Area" localSheetId="3">'Attach C-ExpenditureAdjust wNRT'!$A$1:$I$38</definedName>
    <definedName name="_xlnm.Print_Area" localSheetId="2">'Attach C-ExpenditureAdjustments'!$A$1:$L$35</definedName>
    <definedName name="_xlnm.Print_Area" localSheetId="4">'Attach D-Enroll + Tuition&amp;Fees'!$A$1:$N$36</definedName>
    <definedName name="_xlnm.Print_Area" localSheetId="5">'Attach E-SUG'!$A$1:$F$34</definedName>
    <definedName name="_xlnm.Print_Area" localSheetId="6">'Attach F-Lottery'!$A$1:$E$34</definedName>
    <definedName name="_xlnm.Print_Area" localSheetId="7">'Attach G-Compensation-Reference'!$A$1:$E$33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7" l="1"/>
  <c r="K6" i="7"/>
  <c r="C30" i="11"/>
  <c r="C34" i="11" s="1"/>
  <c r="F10" i="7" l="1"/>
  <c r="F29" i="7" l="1"/>
  <c r="F27" i="7"/>
  <c r="F26" i="7"/>
  <c r="F25" i="7"/>
  <c r="F22" i="7"/>
  <c r="F21" i="7"/>
  <c r="F20" i="7"/>
  <c r="F19" i="7"/>
  <c r="F18" i="7"/>
  <c r="F16" i="7"/>
  <c r="F15" i="7"/>
  <c r="F14" i="7"/>
  <c r="F13" i="7"/>
  <c r="F12" i="7"/>
  <c r="F11" i="7"/>
  <c r="F8" i="7"/>
  <c r="F7" i="7"/>
  <c r="I6" i="11" l="1"/>
  <c r="I4" i="11"/>
  <c r="H32" i="11" l="1"/>
  <c r="G32" i="11"/>
  <c r="H31" i="11"/>
  <c r="G31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D22" i="23"/>
  <c r="D15" i="23"/>
  <c r="D11" i="23"/>
  <c r="D32" i="23"/>
  <c r="D31" i="23"/>
  <c r="D26" i="23"/>
  <c r="D19" i="23"/>
  <c r="D18" i="23"/>
  <c r="D10" i="23"/>
  <c r="B4" i="23"/>
  <c r="C4" i="23" s="1"/>
  <c r="D4" i="23" s="1"/>
  <c r="D16" i="23" l="1"/>
  <c r="D12" i="23"/>
  <c r="D27" i="23"/>
  <c r="D21" i="23"/>
  <c r="D25" i="23"/>
  <c r="D9" i="23"/>
  <c r="D13" i="23"/>
  <c r="B30" i="23"/>
  <c r="B33" i="23" s="1"/>
  <c r="D29" i="23"/>
  <c r="D24" i="23"/>
  <c r="C30" i="23"/>
  <c r="C33" i="23" s="1"/>
  <c r="D20" i="23"/>
  <c r="D8" i="23"/>
  <c r="D14" i="23"/>
  <c r="D17" i="23"/>
  <c r="D7" i="23"/>
  <c r="D23" i="23"/>
  <c r="D28" i="23"/>
  <c r="D30" i="23" l="1"/>
  <c r="D33" i="23" s="1"/>
  <c r="K6" i="6" l="1"/>
  <c r="K4" i="6" l="1"/>
  <c r="H30" i="11"/>
  <c r="H34" i="11" s="1"/>
  <c r="N35" i="22" l="1"/>
  <c r="N34" i="22"/>
  <c r="N32" i="22"/>
  <c r="N6" i="22"/>
  <c r="I35" i="22" l="1"/>
  <c r="O35" i="22" s="1"/>
  <c r="F34" i="22"/>
  <c r="I34" i="22" s="1"/>
  <c r="O34" i="22" s="1"/>
  <c r="I32" i="22"/>
  <c r="O32" i="22" s="1"/>
  <c r="R30" i="22"/>
  <c r="R36" i="22" s="1"/>
  <c r="M30" i="22"/>
  <c r="G30" i="22"/>
  <c r="G36" i="22" s="1"/>
  <c r="F30" i="22"/>
  <c r="F36" i="22" s="1"/>
  <c r="D30" i="22"/>
  <c r="D36" i="22" s="1"/>
  <c r="C30" i="22"/>
  <c r="C36" i="22" s="1"/>
  <c r="B30" i="22"/>
  <c r="B36" i="22" s="1"/>
  <c r="L29" i="22"/>
  <c r="L28" i="22"/>
  <c r="L27" i="22"/>
  <c r="K27" i="22"/>
  <c r="L26" i="22"/>
  <c r="L25" i="22"/>
  <c r="K25" i="22"/>
  <c r="L24" i="22"/>
  <c r="L23" i="22"/>
  <c r="K23" i="22"/>
  <c r="L22" i="22"/>
  <c r="L21" i="22"/>
  <c r="L20" i="22"/>
  <c r="K20" i="22"/>
  <c r="L19" i="22"/>
  <c r="K19" i="22"/>
  <c r="L18" i="22"/>
  <c r="L17" i="22"/>
  <c r="L16" i="22"/>
  <c r="K16" i="22"/>
  <c r="L15" i="22"/>
  <c r="K15" i="22"/>
  <c r="L14" i="22"/>
  <c r="L13" i="22"/>
  <c r="K13" i="22"/>
  <c r="L12" i="22"/>
  <c r="L11" i="22"/>
  <c r="L10" i="22"/>
  <c r="L9" i="22"/>
  <c r="L8" i="22"/>
  <c r="L7" i="22"/>
  <c r="C4" i="22"/>
  <c r="D4" i="22" s="1"/>
  <c r="E4" i="22" s="1"/>
  <c r="F4" i="22" s="1"/>
  <c r="G4" i="22" s="1"/>
  <c r="H4" i="22" s="1"/>
  <c r="I4" i="22" s="1"/>
  <c r="K4" i="22" s="1"/>
  <c r="O6" i="22" l="1"/>
  <c r="L4" i="22"/>
  <c r="M4" i="22" s="1"/>
  <c r="N4" i="22" s="1"/>
  <c r="O4" i="22" s="1"/>
  <c r="S12" i="22"/>
  <c r="S36" i="22"/>
  <c r="S23" i="22"/>
  <c r="S26" i="22"/>
  <c r="S27" i="22"/>
  <c r="S11" i="22"/>
  <c r="S21" i="22"/>
  <c r="S24" i="22"/>
  <c r="S17" i="22"/>
  <c r="S10" i="22"/>
  <c r="S25" i="22"/>
  <c r="S15" i="22"/>
  <c r="S22" i="22"/>
  <c r="S31" i="22"/>
  <c r="S9" i="22"/>
  <c r="S19" i="22"/>
  <c r="S8" i="22"/>
  <c r="S28" i="22"/>
  <c r="S13" i="22"/>
  <c r="L30" i="22"/>
  <c r="K30" i="22"/>
  <c r="K36" i="22" s="1"/>
  <c r="G39" i="22" s="1"/>
  <c r="I6" i="22"/>
  <c r="S7" i="22"/>
  <c r="S18" i="22"/>
  <c r="S20" i="22"/>
  <c r="S14" i="22"/>
  <c r="S16" i="22"/>
  <c r="S29" i="22"/>
  <c r="H27" i="6" l="1"/>
  <c r="H25" i="6"/>
  <c r="H23" i="6"/>
  <c r="H20" i="6"/>
  <c r="H19" i="6"/>
  <c r="H16" i="6"/>
  <c r="H15" i="6"/>
  <c r="H13" i="6"/>
  <c r="I27" i="7" l="1"/>
  <c r="I25" i="7"/>
  <c r="I23" i="7"/>
  <c r="I20" i="7"/>
  <c r="I19" i="7"/>
  <c r="I16" i="7"/>
  <c r="I15" i="7"/>
  <c r="I13" i="7"/>
  <c r="L30" i="18"/>
  <c r="L33" i="18" s="1"/>
  <c r="I30" i="7" l="1"/>
  <c r="I33" i="7" s="1"/>
  <c r="D30" i="15" l="1"/>
  <c r="J16" i="7" l="1"/>
  <c r="J17" i="7"/>
  <c r="J18" i="7"/>
  <c r="J19" i="7"/>
  <c r="J20" i="7"/>
  <c r="J21" i="7"/>
  <c r="J22" i="7"/>
  <c r="J7" i="7"/>
  <c r="J8" i="7"/>
  <c r="J9" i="7"/>
  <c r="J10" i="7"/>
  <c r="J11" i="7"/>
  <c r="J12" i="7"/>
  <c r="J13" i="7"/>
  <c r="J14" i="7"/>
  <c r="J15" i="7"/>
  <c r="J23" i="7"/>
  <c r="J24" i="7"/>
  <c r="J25" i="7"/>
  <c r="J26" i="7"/>
  <c r="J27" i="7"/>
  <c r="J28" i="7"/>
  <c r="J29" i="7"/>
  <c r="F30" i="11" l="1"/>
  <c r="F33" i="11" s="1"/>
  <c r="F34" i="11" l="1"/>
  <c r="D30" i="18" l="1"/>
  <c r="D33" i="18" s="1"/>
  <c r="H27" i="22" l="1"/>
  <c r="H26" i="22"/>
  <c r="H25" i="22"/>
  <c r="H24" i="22"/>
  <c r="H23" i="22"/>
  <c r="H22" i="22"/>
  <c r="H12" i="22"/>
  <c r="H11" i="22"/>
  <c r="H10" i="22"/>
  <c r="H9" i="22"/>
  <c r="H8" i="22"/>
  <c r="H7" i="22"/>
  <c r="H29" i="22" l="1"/>
  <c r="H19" i="22"/>
  <c r="H20" i="22"/>
  <c r="H28" i="22"/>
  <c r="H30" i="22" s="1"/>
  <c r="H36" i="22" s="1"/>
  <c r="H15" i="22"/>
  <c r="H16" i="22"/>
  <c r="H18" i="22"/>
  <c r="H21" i="22"/>
  <c r="H13" i="22"/>
  <c r="H14" i="22"/>
  <c r="H17" i="22"/>
  <c r="D30" i="7"/>
  <c r="C4" i="11" l="1"/>
  <c r="D4" i="11" s="1"/>
  <c r="E4" i="11" s="1"/>
  <c r="F4" i="11" s="1"/>
  <c r="D30" i="1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G4" i="11" l="1"/>
  <c r="H4" i="11" s="1"/>
  <c r="D33" i="11"/>
  <c r="D34" i="11" s="1"/>
  <c r="L31" i="22"/>
  <c r="L33" i="22"/>
  <c r="N33" i="22" s="1"/>
  <c r="G30" i="11"/>
  <c r="G34" i="11" s="1"/>
  <c r="M30" i="18"/>
  <c r="M33" i="18" s="1"/>
  <c r="C4" i="18"/>
  <c r="D4" i="18" s="1"/>
  <c r="E4" i="18" s="1"/>
  <c r="F4" i="18" s="1"/>
  <c r="C30" i="18"/>
  <c r="C33" i="18" s="1"/>
  <c r="E30" i="18"/>
  <c r="E33" i="18" s="1"/>
  <c r="O33" i="22" l="1"/>
  <c r="L36" i="22"/>
  <c r="G6" i="18"/>
  <c r="C4" i="6"/>
  <c r="K4" i="11" l="1"/>
  <c r="D4" i="6"/>
  <c r="E4" i="6" s="1"/>
  <c r="F4" i="6" s="1"/>
  <c r="F6" i="6"/>
  <c r="I30" i="6"/>
  <c r="I36" i="6" s="1"/>
  <c r="C4" i="7"/>
  <c r="D4" i="7" s="1"/>
  <c r="E4" i="7" l="1"/>
  <c r="F4" i="7" s="1"/>
  <c r="G4" i="7" s="1"/>
  <c r="G4" i="6"/>
  <c r="D4" i="19"/>
  <c r="H4" i="6" l="1"/>
  <c r="I4" i="6" s="1"/>
  <c r="J4" i="6" s="1"/>
  <c r="J6" i="6"/>
  <c r="G6" i="7"/>
  <c r="I4" i="7" l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J4" i="7" l="1"/>
  <c r="K4" i="7" s="1"/>
  <c r="L4" i="7" s="1"/>
  <c r="G32" i="18"/>
  <c r="I32" i="18" s="1"/>
  <c r="G31" i="18"/>
  <c r="I31" i="18" s="1"/>
  <c r="G29" i="18"/>
  <c r="I29" i="18" s="1"/>
  <c r="G28" i="18"/>
  <c r="I28" i="18" s="1"/>
  <c r="G27" i="18"/>
  <c r="I27" i="18" s="1"/>
  <c r="G26" i="18"/>
  <c r="I26" i="18" s="1"/>
  <c r="G25" i="18"/>
  <c r="I25" i="18" s="1"/>
  <c r="G24" i="18"/>
  <c r="I24" i="18" s="1"/>
  <c r="G23" i="18"/>
  <c r="I23" i="18" s="1"/>
  <c r="G22" i="18"/>
  <c r="I22" i="18" s="1"/>
  <c r="G21" i="18"/>
  <c r="I21" i="18" s="1"/>
  <c r="G20" i="18"/>
  <c r="I20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8" i="18"/>
  <c r="I8" i="18" s="1"/>
  <c r="G7" i="18"/>
  <c r="I7" i="18" s="1"/>
  <c r="N32" i="18"/>
  <c r="N31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G4" i="18"/>
  <c r="F30" i="18"/>
  <c r="F33" i="18" s="1"/>
  <c r="J30" i="7"/>
  <c r="J33" i="7" s="1"/>
  <c r="E30" i="7"/>
  <c r="M36" i="22" l="1"/>
  <c r="E39" i="22" s="1"/>
  <c r="H4" i="18"/>
  <c r="I6" i="18" s="1"/>
  <c r="G30" i="18"/>
  <c r="G33" i="18" s="1"/>
  <c r="H30" i="6"/>
  <c r="H36" i="6" s="1"/>
  <c r="E29" i="22" l="1"/>
  <c r="I29" i="22" s="1"/>
  <c r="N29" i="22" s="1"/>
  <c r="O29" i="22" s="1"/>
  <c r="E9" i="22"/>
  <c r="I9" i="22" s="1"/>
  <c r="N9" i="22" s="1"/>
  <c r="O9" i="22" s="1"/>
  <c r="E21" i="22"/>
  <c r="I21" i="22" s="1"/>
  <c r="N21" i="22" s="1"/>
  <c r="O21" i="22" s="1"/>
  <c r="E7" i="22"/>
  <c r="E26" i="22"/>
  <c r="I26" i="22" s="1"/>
  <c r="N26" i="22" s="1"/>
  <c r="O26" i="22" s="1"/>
  <c r="E22" i="22"/>
  <c r="I22" i="22" s="1"/>
  <c r="N22" i="22" s="1"/>
  <c r="O22" i="22" s="1"/>
  <c r="V23" i="22"/>
  <c r="V19" i="22"/>
  <c r="E11" i="22"/>
  <c r="I11" i="22" s="1"/>
  <c r="N11" i="22" s="1"/>
  <c r="O11" i="22" s="1"/>
  <c r="V29" i="22"/>
  <c r="E16" i="22"/>
  <c r="I16" i="22" s="1"/>
  <c r="N16" i="22" s="1"/>
  <c r="O16" i="22" s="1"/>
  <c r="V21" i="22"/>
  <c r="E27" i="22"/>
  <c r="I27" i="22" s="1"/>
  <c r="N27" i="22" s="1"/>
  <c r="O27" i="22" s="1"/>
  <c r="E19" i="22"/>
  <c r="I19" i="22" s="1"/>
  <c r="N19" i="22" s="1"/>
  <c r="O19" i="22" s="1"/>
  <c r="E25" i="22"/>
  <c r="I25" i="22" s="1"/>
  <c r="N25" i="22" s="1"/>
  <c r="O25" i="22" s="1"/>
  <c r="E10" i="22"/>
  <c r="I10" i="22" s="1"/>
  <c r="N10" i="22" s="1"/>
  <c r="O10" i="22" s="1"/>
  <c r="V30" i="22"/>
  <c r="V9" i="22"/>
  <c r="V22" i="22"/>
  <c r="E31" i="22"/>
  <c r="I31" i="22" s="1"/>
  <c r="N31" i="22" s="1"/>
  <c r="O31" i="22" s="1"/>
  <c r="E15" i="22"/>
  <c r="I15" i="22" s="1"/>
  <c r="N15" i="22" s="1"/>
  <c r="O15" i="22" s="1"/>
  <c r="E8" i="22"/>
  <c r="I8" i="22" s="1"/>
  <c r="N8" i="22" s="1"/>
  <c r="O8" i="22" s="1"/>
  <c r="V13" i="22"/>
  <c r="V16" i="22"/>
  <c r="E13" i="22"/>
  <c r="I13" i="22" s="1"/>
  <c r="N13" i="22" s="1"/>
  <c r="O13" i="22" s="1"/>
  <c r="E12" i="22"/>
  <c r="I12" i="22" s="1"/>
  <c r="N12" i="22" s="1"/>
  <c r="O12" i="22" s="1"/>
  <c r="E18" i="22"/>
  <c r="I18" i="22" s="1"/>
  <c r="N18" i="22" s="1"/>
  <c r="O18" i="22" s="1"/>
  <c r="V31" i="22"/>
  <c r="V26" i="22"/>
  <c r="E24" i="22"/>
  <c r="I24" i="22" s="1"/>
  <c r="N24" i="22" s="1"/>
  <c r="O24" i="22" s="1"/>
  <c r="E20" i="22"/>
  <c r="I20" i="22" s="1"/>
  <c r="N20" i="22" s="1"/>
  <c r="O20" i="22" s="1"/>
  <c r="V8" i="22"/>
  <c r="E14" i="22"/>
  <c r="I14" i="22" s="1"/>
  <c r="N14" i="22" s="1"/>
  <c r="O14" i="22" s="1"/>
  <c r="E28" i="22"/>
  <c r="I28" i="22" s="1"/>
  <c r="N28" i="22" s="1"/>
  <c r="O28" i="22" s="1"/>
  <c r="V20" i="22"/>
  <c r="V7" i="22"/>
  <c r="E23" i="22"/>
  <c r="I23" i="22" s="1"/>
  <c r="N23" i="22" s="1"/>
  <c r="O23" i="22" s="1"/>
  <c r="V18" i="22"/>
  <c r="V17" i="22"/>
  <c r="V25" i="22"/>
  <c r="V11" i="22"/>
  <c r="V27" i="22"/>
  <c r="V24" i="22"/>
  <c r="V15" i="22"/>
  <c r="V28" i="22"/>
  <c r="V14" i="22"/>
  <c r="E17" i="22"/>
  <c r="I17" i="22" s="1"/>
  <c r="N17" i="22" s="1"/>
  <c r="O17" i="22" s="1"/>
  <c r="V12" i="22"/>
  <c r="V10" i="22"/>
  <c r="F35" i="6"/>
  <c r="K35" i="6" s="1"/>
  <c r="I4" i="18"/>
  <c r="J30" i="18"/>
  <c r="K30" i="18"/>
  <c r="K33" i="18" s="1"/>
  <c r="G31" i="6"/>
  <c r="J31" i="6" s="1"/>
  <c r="G29" i="6"/>
  <c r="J29" i="6" s="1"/>
  <c r="G28" i="6"/>
  <c r="J28" i="6" s="1"/>
  <c r="G27" i="6"/>
  <c r="G26" i="6"/>
  <c r="J26" i="6" s="1"/>
  <c r="G25" i="6"/>
  <c r="J25" i="6" s="1"/>
  <c r="G24" i="6"/>
  <c r="J24" i="6" s="1"/>
  <c r="G23" i="6"/>
  <c r="J23" i="6" s="1"/>
  <c r="G22" i="6"/>
  <c r="J22" i="6" s="1"/>
  <c r="G21" i="6"/>
  <c r="J21" i="6" s="1"/>
  <c r="G20" i="6"/>
  <c r="G19" i="6"/>
  <c r="J19" i="6" s="1"/>
  <c r="G18" i="6"/>
  <c r="J18" i="6" s="1"/>
  <c r="G17" i="6"/>
  <c r="J17" i="6" s="1"/>
  <c r="I17" i="11"/>
  <c r="G16" i="6"/>
  <c r="J16" i="6" s="1"/>
  <c r="G15" i="6"/>
  <c r="J15" i="6" s="1"/>
  <c r="G14" i="6"/>
  <c r="J14" i="6" s="1"/>
  <c r="G13" i="6"/>
  <c r="J13" i="6" s="1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D33" i="7"/>
  <c r="D30" i="19"/>
  <c r="C30" i="19"/>
  <c r="B30" i="19"/>
  <c r="B4" i="19"/>
  <c r="C4" i="19" s="1"/>
  <c r="G32" i="7"/>
  <c r="K32" i="7" s="1"/>
  <c r="G33" i="6"/>
  <c r="J33" i="6" s="1"/>
  <c r="E30" i="11"/>
  <c r="B30" i="11"/>
  <c r="B34" i="11" s="1"/>
  <c r="H30" i="18"/>
  <c r="H33" i="18" s="1"/>
  <c r="B30" i="18"/>
  <c r="B33" i="18" s="1"/>
  <c r="I32" i="11"/>
  <c r="I31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6" i="11"/>
  <c r="I15" i="11"/>
  <c r="I14" i="11"/>
  <c r="I13" i="11"/>
  <c r="I12" i="11"/>
  <c r="I11" i="11"/>
  <c r="I10" i="11"/>
  <c r="I9" i="11"/>
  <c r="I8" i="11"/>
  <c r="I7" i="11"/>
  <c r="F33" i="6"/>
  <c r="C29" i="15"/>
  <c r="E29" i="15" s="1"/>
  <c r="C28" i="15"/>
  <c r="E28" i="15" s="1"/>
  <c r="C27" i="15"/>
  <c r="E27" i="15" s="1"/>
  <c r="C26" i="15"/>
  <c r="E26" i="15" s="1"/>
  <c r="C25" i="15"/>
  <c r="E25" i="15" s="1"/>
  <c r="C24" i="15"/>
  <c r="E24" i="15" s="1"/>
  <c r="C23" i="15"/>
  <c r="E23" i="15" s="1"/>
  <c r="C22" i="15"/>
  <c r="E22" i="15" s="1"/>
  <c r="C21" i="15"/>
  <c r="E21" i="15" s="1"/>
  <c r="C20" i="15"/>
  <c r="E20" i="15" s="1"/>
  <c r="C19" i="15"/>
  <c r="E19" i="15" s="1"/>
  <c r="C18" i="15"/>
  <c r="E18" i="15" s="1"/>
  <c r="C17" i="15"/>
  <c r="E17" i="15" s="1"/>
  <c r="C16" i="15"/>
  <c r="E16" i="15" s="1"/>
  <c r="C15" i="15"/>
  <c r="E15" i="15" s="1"/>
  <c r="C14" i="15"/>
  <c r="E14" i="15" s="1"/>
  <c r="C13" i="15"/>
  <c r="C12" i="15"/>
  <c r="E12" i="15" s="1"/>
  <c r="C11" i="15"/>
  <c r="C10" i="15"/>
  <c r="E10" i="15" s="1"/>
  <c r="C9" i="15"/>
  <c r="C8" i="15"/>
  <c r="C7" i="15"/>
  <c r="C30" i="6"/>
  <c r="C36" i="6" s="1"/>
  <c r="B4" i="15"/>
  <c r="C4" i="15" s="1"/>
  <c r="D4" i="15" s="1"/>
  <c r="E4" i="15" s="1"/>
  <c r="B30" i="7"/>
  <c r="B33" i="7" s="1"/>
  <c r="B30" i="6"/>
  <c r="B36" i="6" s="1"/>
  <c r="C30" i="7"/>
  <c r="C33" i="7" s="1"/>
  <c r="B30" i="15"/>
  <c r="E7" i="15" l="1"/>
  <c r="E11" i="15"/>
  <c r="E13" i="15"/>
  <c r="E9" i="15"/>
  <c r="E8" i="15"/>
  <c r="K33" i="6"/>
  <c r="K32" i="11"/>
  <c r="D32" i="6" s="1"/>
  <c r="K31" i="11"/>
  <c r="D31" i="6" s="1"/>
  <c r="K19" i="11"/>
  <c r="D19" i="6" s="1"/>
  <c r="K10" i="11"/>
  <c r="D10" i="6" s="1"/>
  <c r="K28" i="11"/>
  <c r="D28" i="6" s="1"/>
  <c r="K15" i="11"/>
  <c r="D15" i="6" s="1"/>
  <c r="K21" i="11"/>
  <c r="D21" i="6" s="1"/>
  <c r="K26" i="11"/>
  <c r="D26" i="6" s="1"/>
  <c r="K12" i="11"/>
  <c r="D12" i="6" s="1"/>
  <c r="K22" i="11"/>
  <c r="D22" i="6" s="1"/>
  <c r="K17" i="11"/>
  <c r="D17" i="6" s="1"/>
  <c r="K11" i="11"/>
  <c r="D11" i="6" s="1"/>
  <c r="K13" i="11"/>
  <c r="D13" i="6" s="1"/>
  <c r="K18" i="11"/>
  <c r="D18" i="6" s="1"/>
  <c r="K23" i="11"/>
  <c r="D23" i="6" s="1"/>
  <c r="K14" i="11"/>
  <c r="D14" i="6" s="1"/>
  <c r="K16" i="11"/>
  <c r="D16" i="6" s="1"/>
  <c r="K24" i="11"/>
  <c r="D24" i="6" s="1"/>
  <c r="K9" i="11"/>
  <c r="D9" i="6" s="1"/>
  <c r="K27" i="11"/>
  <c r="D27" i="6" s="1"/>
  <c r="K29" i="11"/>
  <c r="D29" i="6" s="1"/>
  <c r="K20" i="11"/>
  <c r="D20" i="6" s="1"/>
  <c r="K8" i="11"/>
  <c r="D8" i="6" s="1"/>
  <c r="K25" i="11"/>
  <c r="D25" i="6" s="1"/>
  <c r="K7" i="11"/>
  <c r="D7" i="6" s="1"/>
  <c r="J20" i="6"/>
  <c r="J27" i="6"/>
  <c r="J4" i="18"/>
  <c r="K4" i="18" s="1"/>
  <c r="I7" i="22"/>
  <c r="E30" i="22"/>
  <c r="E36" i="22" s="1"/>
  <c r="E38" i="22" s="1"/>
  <c r="L6" i="7"/>
  <c r="K6" i="22"/>
  <c r="L32" i="7"/>
  <c r="L4" i="18"/>
  <c r="M4" i="18" s="1"/>
  <c r="E33" i="11"/>
  <c r="I33" i="11" s="1"/>
  <c r="J33" i="18"/>
  <c r="C30" i="15"/>
  <c r="I30" i="11"/>
  <c r="N30" i="18"/>
  <c r="N33" i="18" s="1"/>
  <c r="I30" i="18"/>
  <c r="I33" i="18" s="1"/>
  <c r="G30" i="6"/>
  <c r="G36" i="6" s="1"/>
  <c r="E30" i="15" l="1"/>
  <c r="J30" i="6"/>
  <c r="J36" i="6" s="1"/>
  <c r="K33" i="11"/>
  <c r="D34" i="6" s="1"/>
  <c r="E32" i="6"/>
  <c r="F32" i="6" s="1"/>
  <c r="K32" i="6" s="1"/>
  <c r="N7" i="22"/>
  <c r="I30" i="22"/>
  <c r="I36" i="22" s="1"/>
  <c r="D30" i="6"/>
  <c r="K30" i="11"/>
  <c r="N4" i="18"/>
  <c r="M6" i="22" s="1"/>
  <c r="L6" i="22"/>
  <c r="J6" i="7"/>
  <c r="N6" i="18"/>
  <c r="I34" i="11"/>
  <c r="E34" i="11"/>
  <c r="F30" i="7"/>
  <c r="F33" i="7" s="1"/>
  <c r="E33" i="7"/>
  <c r="O7" i="22" l="1"/>
  <c r="O30" i="22" s="1"/>
  <c r="O36" i="22" s="1"/>
  <c r="N30" i="22"/>
  <c r="N36" i="22" s="1"/>
  <c r="N39" i="22" s="1"/>
  <c r="D36" i="6"/>
  <c r="K34" i="11"/>
  <c r="G25" i="7" l="1"/>
  <c r="K25" i="7" s="1"/>
  <c r="G17" i="7"/>
  <c r="K17" i="7" s="1"/>
  <c r="G13" i="7"/>
  <c r="K13" i="7" s="1"/>
  <c r="G11" i="7"/>
  <c r="K11" i="7" s="1"/>
  <c r="G8" i="7"/>
  <c r="K8" i="7" s="1"/>
  <c r="G14" i="7"/>
  <c r="K14" i="7" s="1"/>
  <c r="G16" i="7"/>
  <c r="K16" i="7" s="1"/>
  <c r="G27" i="7"/>
  <c r="K27" i="7" s="1"/>
  <c r="G26" i="7"/>
  <c r="K26" i="7" s="1"/>
  <c r="G20" i="7"/>
  <c r="K20" i="7" s="1"/>
  <c r="G7" i="7"/>
  <c r="K7" i="7" s="1"/>
  <c r="G28" i="7"/>
  <c r="K28" i="7" s="1"/>
  <c r="G19" i="7"/>
  <c r="K19" i="7" s="1"/>
  <c r="G10" i="7"/>
  <c r="K10" i="7" s="1"/>
  <c r="G31" i="7"/>
  <c r="K31" i="7" s="1"/>
  <c r="G29" i="7"/>
  <c r="K29" i="7" s="1"/>
  <c r="G12" i="7"/>
  <c r="K12" i="7" s="1"/>
  <c r="G9" i="7"/>
  <c r="K9" i="7" s="1"/>
  <c r="G24" i="7"/>
  <c r="K24" i="7" s="1"/>
  <c r="G18" i="7"/>
  <c r="K18" i="7" s="1"/>
  <c r="G23" i="7"/>
  <c r="K23" i="7" s="1"/>
  <c r="G22" i="7"/>
  <c r="K22" i="7" s="1"/>
  <c r="G15" i="7"/>
  <c r="K15" i="7" s="1"/>
  <c r="G21" i="7"/>
  <c r="K21" i="7" s="1"/>
  <c r="F34" i="6"/>
  <c r="K34" i="6" s="1"/>
  <c r="P7" i="22" l="1"/>
  <c r="P29" i="22"/>
  <c r="P31" i="22"/>
  <c r="P23" i="22"/>
  <c r="Q23" i="22" s="1"/>
  <c r="P19" i="22"/>
  <c r="P11" i="22"/>
  <c r="P12" i="22"/>
  <c r="P27" i="22"/>
  <c r="P14" i="22"/>
  <c r="P18" i="22"/>
  <c r="P28" i="22"/>
  <c r="P13" i="22"/>
  <c r="P22" i="22"/>
  <c r="P26" i="22"/>
  <c r="P24" i="22"/>
  <c r="P17" i="22"/>
  <c r="P16" i="22"/>
  <c r="P15" i="22"/>
  <c r="P10" i="22"/>
  <c r="P20" i="22"/>
  <c r="P21" i="22"/>
  <c r="P9" i="22"/>
  <c r="P25" i="22"/>
  <c r="G30" i="7"/>
  <c r="G33" i="7" s="1"/>
  <c r="L8" i="7" l="1"/>
  <c r="P8" i="22"/>
  <c r="E26" i="6"/>
  <c r="F26" i="6" s="1"/>
  <c r="K26" i="6" s="1"/>
  <c r="L26" i="7"/>
  <c r="E27" i="6"/>
  <c r="F27" i="6" s="1"/>
  <c r="K27" i="6" s="1"/>
  <c r="L27" i="7"/>
  <c r="E11" i="6"/>
  <c r="F11" i="6" s="1"/>
  <c r="K11" i="6" s="1"/>
  <c r="L11" i="7"/>
  <c r="E23" i="6"/>
  <c r="F23" i="6" s="1"/>
  <c r="K23" i="6" s="1"/>
  <c r="L23" i="7"/>
  <c r="E24" i="6"/>
  <c r="F24" i="6" s="1"/>
  <c r="K24" i="6" s="1"/>
  <c r="L24" i="7"/>
  <c r="E13" i="6"/>
  <c r="F13" i="6" s="1"/>
  <c r="K13" i="6" s="1"/>
  <c r="L13" i="7"/>
  <c r="E14" i="6"/>
  <c r="F14" i="6" s="1"/>
  <c r="K14" i="6" s="1"/>
  <c r="L14" i="7"/>
  <c r="E12" i="6"/>
  <c r="F12" i="6" s="1"/>
  <c r="K12" i="6" s="1"/>
  <c r="L12" i="7"/>
  <c r="E19" i="6"/>
  <c r="F19" i="6" s="1"/>
  <c r="K19" i="6" s="1"/>
  <c r="L19" i="7"/>
  <c r="E15" i="6"/>
  <c r="F15" i="6" s="1"/>
  <c r="K15" i="6" s="1"/>
  <c r="L15" i="7"/>
  <c r="E31" i="6"/>
  <c r="F31" i="6" s="1"/>
  <c r="K31" i="6" s="1"/>
  <c r="L31" i="7"/>
  <c r="E22" i="6"/>
  <c r="F22" i="6" s="1"/>
  <c r="K22" i="6" s="1"/>
  <c r="L22" i="7"/>
  <c r="E18" i="6"/>
  <c r="F18" i="6" s="1"/>
  <c r="K18" i="6" s="1"/>
  <c r="L18" i="7"/>
  <c r="E25" i="6"/>
  <c r="F25" i="6" s="1"/>
  <c r="K25" i="6" s="1"/>
  <c r="L25" i="7"/>
  <c r="E9" i="6"/>
  <c r="F9" i="6" s="1"/>
  <c r="K9" i="6" s="1"/>
  <c r="L9" i="7"/>
  <c r="E21" i="6"/>
  <c r="F21" i="6" s="1"/>
  <c r="K21" i="6" s="1"/>
  <c r="L21" i="7"/>
  <c r="E20" i="6"/>
  <c r="F20" i="6" s="1"/>
  <c r="K20" i="6" s="1"/>
  <c r="L20" i="7"/>
  <c r="E10" i="6"/>
  <c r="F10" i="6" s="1"/>
  <c r="K10" i="6" s="1"/>
  <c r="L10" i="7"/>
  <c r="E16" i="6"/>
  <c r="F16" i="6" s="1"/>
  <c r="K16" i="6" s="1"/>
  <c r="L16" i="7"/>
  <c r="E29" i="6"/>
  <c r="F29" i="6" s="1"/>
  <c r="K29" i="6" s="1"/>
  <c r="L29" i="7"/>
  <c r="E28" i="6"/>
  <c r="F28" i="6" s="1"/>
  <c r="K28" i="6" s="1"/>
  <c r="L28" i="7"/>
  <c r="E17" i="6"/>
  <c r="F17" i="6" s="1"/>
  <c r="K17" i="6" s="1"/>
  <c r="L17" i="7"/>
  <c r="E7" i="6"/>
  <c r="F7" i="6" s="1"/>
  <c r="K7" i="6" s="1"/>
  <c r="L7" i="7"/>
  <c r="K30" i="7"/>
  <c r="K33" i="7" s="1"/>
  <c r="E8" i="6"/>
  <c r="F8" i="6" s="1"/>
  <c r="K8" i="6" s="1"/>
  <c r="L30" i="7" l="1"/>
  <c r="L33" i="7" s="1"/>
  <c r="E30" i="6"/>
  <c r="E36" i="6" s="1"/>
  <c r="K30" i="6"/>
  <c r="K36" i="6" s="1"/>
  <c r="F30" i="6"/>
  <c r="F36" i="6" s="1"/>
</calcChain>
</file>

<file path=xl/sharedStrings.xml><?xml version="1.0" encoding="utf-8"?>
<sst xmlns="http://schemas.openxmlformats.org/spreadsheetml/2006/main" count="342" uniqueCount="141">
  <si>
    <t>ATTACHMENT A - Operating Budget Sources</t>
  </si>
  <si>
    <t>General Fund</t>
  </si>
  <si>
    <t>Tuition &amp; Fees</t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</si>
  <si>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</si>
  <si>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</si>
  <si>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</si>
  <si>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</si>
  <si>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</si>
  <si>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</si>
  <si>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</si>
  <si>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</si>
  <si>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</si>
  <si>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</si>
  <si>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</si>
  <si>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</si>
  <si>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</si>
  <si>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</si>
  <si>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</si>
  <si>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</si>
  <si>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</si>
  <si>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</si>
  <si>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</si>
  <si>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</si>
  <si>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</si>
  <si>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</si>
  <si>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</si>
  <si>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University Total</t>
  </si>
  <si>
    <t>Chancellor's Office &amp; Systemwide Programs</t>
  </si>
  <si>
    <t>Center for California Studies</t>
  </si>
  <si>
    <t>Summer Arts</t>
  </si>
  <si>
    <t xml:space="preserve">Systemwide Provisions </t>
  </si>
  <si>
    <t>Systemwide Capital &amp; Infrastructure</t>
  </si>
  <si>
    <t>CSU System Total</t>
  </si>
  <si>
    <t>Other Program Adjustments</t>
  </si>
  <si>
    <t>Mandatory Costs</t>
  </si>
  <si>
    <t>Revenue Adjustments</t>
  </si>
  <si>
    <t>Health 
Premiums</t>
  </si>
  <si>
    <t>Operations &amp; Maintenance of New Facilities</t>
  </si>
  <si>
    <t>Enrollment Growth</t>
  </si>
  <si>
    <t>State University Grant 5% Redistribution</t>
  </si>
  <si>
    <t>New GF</t>
  </si>
  <si>
    <t>Enrollment</t>
  </si>
  <si>
    <t>Tuition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</si>
  <si>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Reported Systemwide Programs revenue is for International Programs (660 FTES) and CalStateTEACH (659 FTES) tuition and CalState Apply application fees.</t>
    </r>
  </si>
  <si>
    <t>Liability &amp; Property Insurance Premiums</t>
  </si>
  <si>
    <t>2024-25 Final Budget Allocations</t>
  </si>
  <si>
    <t>2023-24
General Fund</t>
  </si>
  <si>
    <t>(Coded Memo
B 2023-02)</t>
  </si>
  <si>
    <t>Revisions to
2023-24
General Fund
Allocations</t>
  </si>
  <si>
    <t>2024-25
General Fund
Increase for Expenditures</t>
  </si>
  <si>
    <t>Total
2024-25
General Fund</t>
  </si>
  <si>
    <t>2024-25
Tuition Revenue from Rate Increase</t>
  </si>
  <si>
    <t>2024-25
Tuition Revenue from Enrollment Growth</t>
  </si>
  <si>
    <t>Support for
Students with
Disabilities</t>
  </si>
  <si>
    <t>ATTACHMENT C - 2024-25 Expenditure Adjustments (Uses) and Revenue Adjustments (Sources)</t>
  </si>
  <si>
    <t>2024-25  Expenditure Adjustments</t>
  </si>
  <si>
    <t>2023-24
Resident
FTES Target</t>
  </si>
  <si>
    <t>2024-25
Resident
FTES Target
Increase</t>
  </si>
  <si>
    <t>2024-25
Total Resident
FTES Target</t>
  </si>
  <si>
    <t>2024-25
Estimated
Total FTES</t>
  </si>
  <si>
    <t>2023-24
Other Fee
Revenue</t>
  </si>
  <si>
    <t>2024-25
Estimated
Gross Tuition &amp;
Fee Revenue</t>
  </si>
  <si>
    <t xml:space="preserve"> (University Reported, 2023-24 FIRMS Budget)</t>
  </si>
  <si>
    <t>2023-24
Final
Lottery</t>
  </si>
  <si>
    <t>(Coded Memo 
B 2023-02, Attach. E)</t>
  </si>
  <si>
    <t>(Coded Memo 
B 2023-02, Attach. F)</t>
  </si>
  <si>
    <t>($15,774 *
Attach. D, Col. 4)</t>
  </si>
  <si>
    <t>Activity Period Number  /  Firms Record Type Code  /  State Fund Number (Firms Csu Fund)  /  Csu Fund Code  /  Csu Fund Name</t>
  </si>
  <si>
    <t>TF-CSU Operating Fund</t>
  </si>
  <si>
    <t>(Attach. E, Col. 5)</t>
  </si>
  <si>
    <t>2023-24
Resident
FTES Target
Reallocation</t>
  </si>
  <si>
    <t>2023-24
Resident
FTES Target
Growth</t>
  </si>
  <si>
    <t>2023-24
Resident
Target
Reallocation</t>
  </si>
  <si>
    <t>Campus Total</t>
  </si>
  <si>
    <t>2023-24 Compensation Cost Increase</t>
  </si>
  <si>
    <t>2023-24 Compensation Allocations</t>
  </si>
  <si>
    <t>(Attach. D, Col. 11)</t>
  </si>
  <si>
    <t>Amount available</t>
  </si>
  <si>
    <t>2024-25 Compensation</t>
  </si>
  <si>
    <t>Use for Col 5 rounding adjustment</t>
  </si>
  <si>
    <t>Center for California Studies (need to separate from Sacramento line)</t>
  </si>
  <si>
    <t>Other Program Adjustments includes Title IX &amp; DHR Programs, State and Federal NAGRA Compliance, Debt Service, and Student Basic Needs and Mental Health</t>
  </si>
  <si>
    <t>($15,774 *
Attach. D, Col. 5)</t>
  </si>
  <si>
    <t>($14,749  - Avg Tuition
* Attach. D, Col. 3)</t>
  </si>
  <si>
    <t>($14,749  - Avg Tuition
* Attach. D, Col. 4)</t>
  </si>
  <si>
    <t>2024-25
Revenue Adjustments</t>
  </si>
  <si>
    <t>2024-25
Nonresident Revenue from Rate Increase</t>
  </si>
  <si>
    <t>GF Gained/Lost with NRT</t>
  </si>
  <si>
    <t>ATTACHMENT B - Revisions to 2023-24 Expenditures (Uses) and Revenues (Sources)</t>
  </si>
  <si>
    <t>Revisions to
2023-24
Expenditures</t>
  </si>
  <si>
    <t>Chancellor's Office &amp; SW Programs</t>
  </si>
  <si>
    <t>(B 2023-02,
Attach. C)</t>
  </si>
  <si>
    <t>(Attach. D, Col. 9 + 10)</t>
  </si>
  <si>
    <t>(Attach. D, Col. 12)</t>
  </si>
  <si>
    <t>University-Funded
Portion of Compensation</t>
  </si>
  <si>
    <t>Coded Memo B 2024-01</t>
  </si>
  <si>
    <t>2024-25 Preliminary Budget Allocations</t>
  </si>
  <si>
    <t>ATTACHMENT C - 2024-25 Expenditure (Uses) and Revenue  (Sources) Adjustments</t>
  </si>
  <si>
    <t>2024-25 
Preliminary 
Lottery</t>
  </si>
  <si>
    <t>ATTACHMENT D - 2024-25 Enrollment and Tuition &amp; Fee Revenue (Sources)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</si>
  <si>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Remaining $195.3 million of one-time General Fund commitment to be allocated to universities in final budget allocations.</t>
    </r>
  </si>
  <si>
    <t>ATTACHMENT E - 2024-25 Preliminary State University Grants (Uses)</t>
  </si>
  <si>
    <t>ATTACHMENT F - 2024-25 Preliminary Lottery Allocation (Sources)</t>
  </si>
  <si>
    <t>ATTACHMENT G - Compensation Reference Information</t>
  </si>
  <si>
    <t>95% of
2023-24 
SUG</t>
  </si>
  <si>
    <t>(Attach. E, Col. 3)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</si>
  <si>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Remaining $543,000 in Lottery to be allocated to universities in final budget allocations.</t>
    </r>
  </si>
  <si>
    <t>2023-24
Tuition
Revenue</t>
  </si>
  <si>
    <t>2023-24
Estimated
Tuition &amp;
Fee Revenue</t>
  </si>
  <si>
    <t>Total 2024-25
Estimated
Tuition &amp;
Fee Revenue</t>
  </si>
  <si>
    <r>
      <t xml:space="preserve">Chancellor's Office &amp; SW Programs 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</si>
  <si>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Equal to preliminary actual 2023-24 nonresident students.</t>
    </r>
  </si>
  <si>
    <t>2023-24 
SUG</t>
  </si>
  <si>
    <t>Preliminary
2024-25
SUG</t>
  </si>
  <si>
    <t>2023-24
Operating
Budget</t>
  </si>
  <si>
    <r>
      <t xml:space="preserve">2024-25
</t>
    </r>
    <r>
      <rPr>
        <b/>
        <u/>
        <sz val="11"/>
        <rFont val="Calibri"/>
        <family val="2"/>
        <scheme val="minor"/>
      </rPr>
      <t xml:space="preserve">One-Time
</t>
    </r>
    <r>
      <rPr>
        <b/>
        <sz val="11"/>
        <rFont val="Calibri"/>
        <family val="2"/>
        <scheme val="minor"/>
      </rPr>
      <t>General Fund
Commitment</t>
    </r>
  </si>
  <si>
    <t>2024-25
Estimated Tuition
Revenue from
Enrollment Growth</t>
  </si>
  <si>
    <t>2024-25
Estimated Tuition
Revenue from
Rate Increase</t>
  </si>
  <si>
    <t>2024-25
Operating
Budget</t>
  </si>
  <si>
    <t>Project
Rebound</t>
  </si>
  <si>
    <t>2023-24
Resident
Target
Adjustment</t>
  </si>
  <si>
    <t>2023-24
Compensation
Cost Increase</t>
  </si>
  <si>
    <t>2023-24
University-
Funded Portion
of Compensation</t>
  </si>
  <si>
    <t>Operations &amp;
Maintenance of
New Facilities</t>
  </si>
  <si>
    <t>Enrollment
Growth</t>
  </si>
  <si>
    <t>Preliminary
State
University 
Grant</t>
  </si>
  <si>
    <t>2024-25
Expenditure
Adjustments</t>
  </si>
  <si>
    <t>2024-25
Tuition Revenue
from Enrollment
Growth</t>
  </si>
  <si>
    <t>2024-25
Tuition Revenue
from Rate
Increase</t>
  </si>
  <si>
    <r>
      <t xml:space="preserve">2024-25
</t>
    </r>
    <r>
      <rPr>
        <b/>
        <u/>
        <sz val="11"/>
        <rFont val="Calibri"/>
        <family val="2"/>
        <scheme val="minor"/>
      </rPr>
      <t>One-Time</t>
    </r>
    <r>
      <rPr>
        <b/>
        <sz val="11"/>
        <rFont val="Calibri"/>
        <family val="2"/>
        <scheme val="minor"/>
      </rPr>
      <t xml:space="preserve">
General Fund
Commitment </t>
    </r>
    <r>
      <rPr>
        <b/>
        <vertAlign val="superscript"/>
        <sz val="11"/>
        <rFont val="Calibri"/>
        <family val="2"/>
        <scheme val="minor"/>
      </rPr>
      <t>1</t>
    </r>
  </si>
  <si>
    <t>2024-25
Revenue
Adjustments</t>
  </si>
  <si>
    <r>
      <t xml:space="preserve">2023-24
Nonresident
FTES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</si>
  <si>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90% of Estimated
2024-25
SUG Increase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</si>
  <si>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2024-25
Preliminary
Lottery
Increase 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</si>
  <si>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Preliminary SUG increase is one-third of estimated tuition revenue from enrollment growth and tuition rate changes (Attachment D,</t>
    </r>
  </si>
  <si>
    <t xml:space="preserve">   Cols. 11 &amp; 12) * 90 percent. Remaining SUG (~$5.9 million) to be allocated to universities in final budget allocations.</t>
  </si>
  <si>
    <t>(80% of 2024-25
Lottery Increase)</t>
  </si>
  <si>
    <t>(Sum Col. 2- 3)</t>
  </si>
  <si>
    <t>(Sum Col. 1- 2)</t>
  </si>
  <si>
    <t>(Attach. B, Col. 9)</t>
  </si>
  <si>
    <t>(Attach. C, Col.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</si>
</sst>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00%"/>
    <numFmt numFmtId="167" formatCode="0.0%"/>
    <numFmt numFmtId="168" formatCode="#,##0.0_);\(#,##0.0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/>
      <right style="thick">
        <color theme="0" tint="-0.24994659260841701"/>
      </right>
      <top style="thin">
        <color indexed="64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theme="0" tint="-0.24994659260841701"/>
      </right>
      <top/>
      <bottom style="thin">
        <color indexed="64"/>
      </bottom>
      <diagonal/>
    </border>
    <border>
      <left style="medium">
        <color auto="1"/>
      </left>
      <right style="thick">
        <color theme="0" tint="-0.24994659260841701"/>
      </right>
      <top style="thin">
        <color auto="1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37" fontId="2" fillId="0" borderId="1" xfId="0" applyNumberFormat="1" applyFont="1" applyBorder="1"/>
    <xf numFmtId="37" fontId="8" fillId="0" borderId="0" xfId="0" applyNumberFormat="1" applyFont="1"/>
    <xf numFmtId="37" fontId="0" fillId="0" borderId="0" xfId="0" applyNumberFormat="1"/>
    <xf numFmtId="37" fontId="0" fillId="0" borderId="0" xfId="0" applyNumberFormat="1" applyAlignment="1">
      <alignment horizontal="center"/>
    </xf>
    <xf numFmtId="5" fontId="0" fillId="0" borderId="0" xfId="0" applyNumberFormat="1"/>
    <xf numFmtId="37" fontId="2" fillId="0" borderId="0" xfId="0" applyNumberFormat="1" applyFont="1"/>
    <xf numFmtId="5" fontId="2" fillId="0" borderId="1" xfId="0" applyNumberFormat="1" applyFont="1" applyBorder="1"/>
    <xf numFmtId="37" fontId="0" fillId="2" borderId="0" xfId="0" applyNumberFormat="1" applyFill="1"/>
    <xf numFmtId="37" fontId="0" fillId="0" borderId="3" xfId="0" applyNumberFormat="1" applyBorder="1"/>
    <xf numFmtId="9" fontId="0" fillId="0" borderId="0" xfId="56" applyFont="1"/>
    <xf numFmtId="164" fontId="0" fillId="0" borderId="0" xfId="0" applyNumberFormat="1"/>
    <xf numFmtId="5" fontId="0" fillId="2" borderId="0" xfId="0" applyNumberFormat="1" applyFill="1"/>
    <xf numFmtId="10" fontId="0" fillId="0" borderId="0" xfId="56" applyNumberFormat="1" applyFont="1"/>
    <xf numFmtId="38" fontId="0" fillId="0" borderId="0" xfId="0" applyNumberFormat="1"/>
    <xf numFmtId="5" fontId="15" fillId="0" borderId="0" xfId="0" applyNumberFormat="1" applyFont="1"/>
    <xf numFmtId="37" fontId="8" fillId="0" borderId="0" xfId="0" applyNumberFormat="1" applyFont="1" applyAlignment="1">
      <alignment horizontal="right"/>
    </xf>
    <xf numFmtId="0" fontId="17" fillId="0" borderId="0" xfId="58" applyFont="1" applyFill="1" applyAlignment="1">
      <alignment horizontal="right" vertical="center"/>
    </xf>
    <xf numFmtId="0" fontId="18" fillId="0" borderId="0" xfId="0" applyFont="1"/>
    <xf numFmtId="37" fontId="19" fillId="0" borderId="0" xfId="0" applyNumberFormat="1" applyFont="1"/>
    <xf numFmtId="5" fontId="2" fillId="0" borderId="2" xfId="0" applyNumberFormat="1" applyFont="1" applyBorder="1"/>
    <xf numFmtId="37" fontId="2" fillId="0" borderId="3" xfId="0" applyNumberFormat="1" applyFont="1" applyBorder="1" applyAlignment="1">
      <alignment horizontal="center" wrapText="1"/>
    </xf>
    <xf numFmtId="37" fontId="11" fillId="0" borderId="3" xfId="0" applyNumberFormat="1" applyFont="1" applyBorder="1" applyAlignment="1">
      <alignment horizontal="center" wrapText="1"/>
    </xf>
    <xf numFmtId="0" fontId="0" fillId="0" borderId="3" xfId="0" applyBorder="1"/>
    <xf numFmtId="37" fontId="0" fillId="0" borderId="3" xfId="0" applyNumberFormat="1" applyBorder="1" applyAlignment="1">
      <alignment horizontal="center" wrapText="1"/>
    </xf>
    <xf numFmtId="37" fontId="0" fillId="0" borderId="1" xfId="0" applyNumberFormat="1" applyBorder="1" applyAlignment="1">
      <alignment horizontal="center" wrapText="1"/>
    </xf>
    <xf numFmtId="37" fontId="0" fillId="0" borderId="1" xfId="0" applyNumberFormat="1" applyBorder="1"/>
    <xf numFmtId="0" fontId="18" fillId="0" borderId="1" xfId="0" applyFont="1" applyBorder="1"/>
    <xf numFmtId="37" fontId="14" fillId="0" borderId="0" xfId="0" applyNumberFormat="1" applyFont="1"/>
    <xf numFmtId="37" fontId="20" fillId="0" borderId="0" xfId="0" applyNumberFormat="1" applyFont="1"/>
    <xf numFmtId="7" fontId="0" fillId="0" borderId="0" xfId="0" applyNumberFormat="1"/>
    <xf numFmtId="44" fontId="0" fillId="0" borderId="0" xfId="59" applyFont="1"/>
    <xf numFmtId="9" fontId="0" fillId="0" borderId="0" xfId="56" applyFont="1" applyFill="1"/>
    <xf numFmtId="5" fontId="18" fillId="0" borderId="0" xfId="0" applyNumberFormat="1" applyFont="1"/>
    <xf numFmtId="37" fontId="0" fillId="0" borderId="4" xfId="0" applyNumberFormat="1" applyBorder="1" applyAlignment="1">
      <alignment horizontal="center"/>
    </xf>
    <xf numFmtId="37" fontId="2" fillId="0" borderId="5" xfId="0" applyNumberFormat="1" applyFont="1" applyBorder="1" applyAlignment="1">
      <alignment horizontal="center" wrapText="1"/>
    </xf>
    <xf numFmtId="10" fontId="0" fillId="0" borderId="0" xfId="56" applyNumberFormat="1" applyFont="1" applyFill="1"/>
    <xf numFmtId="37" fontId="12" fillId="0" borderId="1" xfId="0" applyNumberFormat="1" applyFont="1" applyBorder="1" applyAlignment="1">
      <alignment horizontal="center" vertical="center" wrapText="1"/>
    </xf>
    <xf numFmtId="37" fontId="11" fillId="0" borderId="5" xfId="0" applyNumberFormat="1" applyFont="1" applyBorder="1" applyAlignment="1">
      <alignment horizontal="center" wrapText="1"/>
    </xf>
    <xf numFmtId="37" fontId="0" fillId="2" borderId="0" xfId="0" applyNumberFormat="1" applyFill="1" applyAlignment="1">
      <alignment horizontal="right" indent="1"/>
    </xf>
    <xf numFmtId="5" fontId="2" fillId="0" borderId="2" xfId="0" applyNumberFormat="1" applyFont="1" applyBorder="1" applyAlignment="1">
      <alignment horizontal="right" indent="1"/>
    </xf>
    <xf numFmtId="37" fontId="0" fillId="0" borderId="0" xfId="0" applyNumberFormat="1" applyAlignment="1">
      <alignment horizontal="right" indent="1"/>
    </xf>
    <xf numFmtId="5" fontId="0" fillId="2" borderId="0" xfId="0" applyNumberFormat="1" applyFill="1" applyAlignment="1">
      <alignment horizontal="right" indent="1"/>
    </xf>
    <xf numFmtId="37" fontId="10" fillId="2" borderId="0" xfId="0" applyNumberFormat="1" applyFont="1" applyFill="1" applyAlignment="1">
      <alignment horizontal="right" indent="1"/>
    </xf>
    <xf numFmtId="5" fontId="2" fillId="0" borderId="1" xfId="0" applyNumberFormat="1" applyFont="1" applyBorder="1" applyAlignment="1">
      <alignment horizontal="right" indent="1"/>
    </xf>
    <xf numFmtId="37" fontId="0" fillId="2" borderId="4" xfId="0" applyNumberFormat="1" applyFill="1" applyBorder="1" applyAlignment="1">
      <alignment horizontal="right" indent="1"/>
    </xf>
    <xf numFmtId="5" fontId="2" fillId="0" borderId="7" xfId="0" applyNumberFormat="1" applyFont="1" applyBorder="1" applyAlignment="1">
      <alignment horizontal="right" indent="1"/>
    </xf>
    <xf numFmtId="5" fontId="0" fillId="2" borderId="4" xfId="0" applyNumberFormat="1" applyFill="1" applyBorder="1" applyAlignment="1">
      <alignment horizontal="right" indent="1"/>
    </xf>
    <xf numFmtId="37" fontId="0" fillId="0" borderId="4" xfId="0" applyNumberFormat="1" applyBorder="1" applyAlignment="1">
      <alignment horizontal="right" indent="1"/>
    </xf>
    <xf numFmtId="37" fontId="10" fillId="2" borderId="4" xfId="0" applyNumberFormat="1" applyFont="1" applyFill="1" applyBorder="1" applyAlignment="1">
      <alignment horizontal="right" indent="1"/>
    </xf>
    <xf numFmtId="5" fontId="2" fillId="0" borderId="6" xfId="0" applyNumberFormat="1" applyFont="1" applyBorder="1" applyAlignment="1">
      <alignment horizontal="right" indent="1"/>
    </xf>
    <xf numFmtId="37" fontId="12" fillId="0" borderId="1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37" fontId="13" fillId="0" borderId="0" xfId="0" applyNumberFormat="1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7" fontId="2" fillId="0" borderId="1" xfId="0" applyNumberFormat="1" applyFont="1" applyBorder="1" applyAlignment="1">
      <alignment horizontal="right" indent="1"/>
    </xf>
    <xf numFmtId="37" fontId="2" fillId="0" borderId="2" xfId="0" applyNumberFormat="1" applyFont="1" applyBorder="1" applyAlignment="1">
      <alignment horizontal="right" indent="1"/>
    </xf>
    <xf numFmtId="0" fontId="0" fillId="0" borderId="0" xfId="0" applyAlignment="1">
      <alignment vertical="top"/>
    </xf>
    <xf numFmtId="37" fontId="12" fillId="0" borderId="6" xfId="0" applyNumberFormat="1" applyFont="1" applyBorder="1" applyAlignment="1">
      <alignment horizontal="center" vertical="center" wrapText="1"/>
    </xf>
    <xf numFmtId="5" fontId="10" fillId="2" borderId="0" xfId="0" applyNumberFormat="1" applyFont="1" applyFill="1" applyAlignment="1">
      <alignment horizontal="right" indent="1"/>
    </xf>
    <xf numFmtId="37" fontId="10" fillId="0" borderId="0" xfId="0" applyNumberFormat="1" applyFont="1" applyAlignment="1">
      <alignment horizontal="right" indent="1"/>
    </xf>
    <xf numFmtId="5" fontId="10" fillId="2" borderId="4" xfId="0" applyNumberFormat="1" applyFont="1" applyFill="1" applyBorder="1" applyAlignment="1">
      <alignment horizontal="right" indent="1"/>
    </xf>
    <xf numFmtId="37" fontId="10" fillId="0" borderId="4" xfId="0" applyNumberFormat="1" applyFont="1" applyBorder="1" applyAlignment="1">
      <alignment horizontal="right" indent="1"/>
    </xf>
    <xf numFmtId="5" fontId="11" fillId="0" borderId="6" xfId="0" applyNumberFormat="1" applyFont="1" applyBorder="1" applyAlignment="1">
      <alignment horizontal="right" indent="1"/>
    </xf>
    <xf numFmtId="37" fontId="22" fillId="0" borderId="0" xfId="0" applyNumberFormat="1" applyFont="1"/>
    <xf numFmtId="37" fontId="12" fillId="0" borderId="17" xfId="0" applyNumberFormat="1" applyFont="1" applyBorder="1" applyAlignment="1">
      <alignment horizontal="center" vertical="center" wrapText="1"/>
    </xf>
    <xf numFmtId="37" fontId="12" fillId="0" borderId="18" xfId="0" applyNumberFormat="1" applyFont="1" applyBorder="1" applyAlignment="1">
      <alignment horizontal="center" vertical="center" wrapText="1"/>
    </xf>
    <xf numFmtId="37" fontId="0" fillId="0" borderId="21" xfId="0" applyNumberFormat="1" applyBorder="1" applyAlignment="1">
      <alignment horizontal="right" indent="1"/>
    </xf>
    <xf numFmtId="37" fontId="0" fillId="2" borderId="21" xfId="0" applyNumberFormat="1" applyFill="1" applyBorder="1" applyAlignment="1">
      <alignment horizontal="right" indent="1"/>
    </xf>
    <xf numFmtId="37" fontId="10" fillId="2" borderId="22" xfId="0" applyNumberFormat="1" applyFont="1" applyFill="1" applyBorder="1" applyAlignment="1">
      <alignment horizontal="right" indent="1"/>
    </xf>
    <xf numFmtId="5" fontId="2" fillId="0" borderId="17" xfId="0" applyNumberFormat="1" applyFont="1" applyBorder="1" applyAlignment="1">
      <alignment horizontal="right" indent="1"/>
    </xf>
    <xf numFmtId="5" fontId="2" fillId="0" borderId="23" xfId="0" applyNumberFormat="1" applyFont="1" applyBorder="1" applyAlignment="1">
      <alignment horizontal="right" indent="1"/>
    </xf>
    <xf numFmtId="5" fontId="0" fillId="0" borderId="0" xfId="0" applyNumberFormat="1" applyAlignment="1">
      <alignment horizontal="right" indent="1"/>
    </xf>
    <xf numFmtId="165" fontId="8" fillId="0" borderId="0" xfId="0" quotePrefix="1" applyNumberFormat="1" applyFont="1" applyAlignment="1">
      <alignment horizontal="right" wrapText="1"/>
    </xf>
    <xf numFmtId="37" fontId="2" fillId="0" borderId="25" xfId="0" applyNumberFormat="1" applyFont="1" applyBorder="1" applyAlignment="1">
      <alignment horizontal="center" wrapText="1"/>
    </xf>
    <xf numFmtId="37" fontId="12" fillId="0" borderId="26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right" indent="1"/>
    </xf>
    <xf numFmtId="37" fontId="11" fillId="0" borderId="15" xfId="0" applyNumberFormat="1" applyFont="1" applyBorder="1" applyAlignment="1">
      <alignment horizontal="center" wrapText="1"/>
    </xf>
    <xf numFmtId="5" fontId="0" fillId="2" borderId="21" xfId="0" applyNumberFormat="1" applyFill="1" applyBorder="1" applyAlignment="1">
      <alignment horizontal="right" indent="1"/>
    </xf>
    <xf numFmtId="0" fontId="11" fillId="0" borderId="3" xfId="0" applyFont="1" applyBorder="1" applyAlignment="1">
      <alignment horizontal="center" wrapText="1"/>
    </xf>
    <xf numFmtId="37" fontId="11" fillId="0" borderId="16" xfId="0" applyNumberFormat="1" applyFont="1" applyBorder="1" applyAlignment="1">
      <alignment horizontal="center" wrapText="1"/>
    </xf>
    <xf numFmtId="37" fontId="12" fillId="0" borderId="1" xfId="0" quotePrefix="1" applyNumberFormat="1" applyFont="1" applyBorder="1" applyAlignment="1">
      <alignment horizontal="center" vertical="center"/>
    </xf>
    <xf numFmtId="37" fontId="0" fillId="0" borderId="0" xfId="0" applyNumberFormat="1" applyAlignment="1">
      <alignment vertical="top" wrapText="1"/>
    </xf>
    <xf numFmtId="37" fontId="28" fillId="0" borderId="0" xfId="0" applyNumberFormat="1" applyFont="1"/>
    <xf numFmtId="3" fontId="8" fillId="0" borderId="0" xfId="0" applyNumberFormat="1" applyFont="1"/>
    <xf numFmtId="37" fontId="21" fillId="0" borderId="1" xfId="0" applyNumberFormat="1" applyFont="1" applyBorder="1" applyAlignment="1">
      <alignment horizontal="center" vertical="center" wrapText="1"/>
    </xf>
    <xf numFmtId="37" fontId="2" fillId="3" borderId="0" xfId="0" applyNumberFormat="1" applyFont="1" applyFill="1"/>
    <xf numFmtId="37" fontId="2" fillId="0" borderId="0" xfId="0" applyNumberFormat="1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11" fillId="0" borderId="15" xfId="0" applyFont="1" applyBorder="1" applyAlignment="1">
      <alignment horizontal="center" wrapText="1"/>
    </xf>
    <xf numFmtId="37" fontId="2" fillId="0" borderId="17" xfId="0" applyNumberFormat="1" applyFont="1" applyBorder="1" applyAlignment="1">
      <alignment horizontal="right" indent="1"/>
    </xf>
    <xf numFmtId="37" fontId="2" fillId="0" borderId="23" xfId="0" applyNumberFormat="1" applyFont="1" applyBorder="1" applyAlignment="1">
      <alignment horizontal="right" indent="1"/>
    </xf>
    <xf numFmtId="37" fontId="10" fillId="0" borderId="22" xfId="0" applyNumberFormat="1" applyFont="1" applyBorder="1" applyAlignment="1">
      <alignment horizontal="right" indent="1"/>
    </xf>
    <xf numFmtId="37" fontId="11" fillId="0" borderId="18" xfId="0" applyNumberFormat="1" applyFont="1" applyBorder="1" applyAlignment="1">
      <alignment horizontal="right" indent="1"/>
    </xf>
    <xf numFmtId="5" fontId="10" fillId="0" borderId="0" xfId="0" applyNumberFormat="1" applyFont="1" applyAlignment="1">
      <alignment horizontal="right" indent="1"/>
    </xf>
    <xf numFmtId="37" fontId="21" fillId="0" borderId="6" xfId="0" applyNumberFormat="1" applyFont="1" applyBorder="1" applyAlignment="1">
      <alignment horizontal="center" vertical="center" wrapText="1"/>
    </xf>
    <xf numFmtId="5" fontId="29" fillId="2" borderId="0" xfId="0" applyNumberFormat="1" applyFont="1" applyFill="1" applyAlignment="1">
      <alignment horizontal="right" indent="1"/>
    </xf>
    <xf numFmtId="37" fontId="29" fillId="0" borderId="0" xfId="0" applyNumberFormat="1" applyFont="1" applyAlignment="1">
      <alignment horizontal="right" indent="1"/>
    </xf>
    <xf numFmtId="37" fontId="29" fillId="2" borderId="0" xfId="0" applyNumberFormat="1" applyFont="1" applyFill="1" applyAlignment="1">
      <alignment horizontal="right" indent="1"/>
    </xf>
    <xf numFmtId="37" fontId="21" fillId="0" borderId="9" xfId="0" applyNumberFormat="1" applyFont="1" applyBorder="1" applyAlignment="1">
      <alignment horizontal="center" vertical="center" wrapText="1"/>
    </xf>
    <xf numFmtId="37" fontId="29" fillId="0" borderId="0" xfId="0" applyNumberFormat="1" applyFont="1"/>
    <xf numFmtId="5" fontId="11" fillId="0" borderId="7" xfId="0" applyNumberFormat="1" applyFont="1" applyBorder="1" applyAlignment="1">
      <alignment horizontal="right" indent="1"/>
    </xf>
    <xf numFmtId="37" fontId="21" fillId="0" borderId="1" xfId="0" applyNumberFormat="1" applyFont="1" applyBorder="1" applyAlignment="1">
      <alignment horizontal="center" vertical="center"/>
    </xf>
    <xf numFmtId="37" fontId="27" fillId="0" borderId="0" xfId="0" applyNumberFormat="1" applyFont="1"/>
    <xf numFmtId="5" fontId="11" fillId="0" borderId="1" xfId="0" applyNumberFormat="1" applyFont="1" applyBorder="1" applyAlignment="1">
      <alignment horizontal="right" indent="1"/>
    </xf>
    <xf numFmtId="5" fontId="11" fillId="0" borderId="2" xfId="0" applyNumberFormat="1" applyFont="1" applyBorder="1" applyAlignment="1">
      <alignment horizontal="right" indent="1"/>
    </xf>
    <xf numFmtId="37" fontId="21" fillId="0" borderId="1" xfId="0" quotePrefix="1" applyNumberFormat="1" applyFont="1" applyBorder="1" applyAlignment="1">
      <alignment horizontal="center" vertical="center" wrapText="1"/>
    </xf>
    <xf numFmtId="166" fontId="0" fillId="0" borderId="0" xfId="56" applyNumberFormat="1" applyFont="1"/>
    <xf numFmtId="37" fontId="10" fillId="0" borderId="0" xfId="0" applyNumberFormat="1" applyFont="1"/>
    <xf numFmtId="37" fontId="21" fillId="0" borderId="0" xfId="0" applyNumberFormat="1" applyFont="1" applyAlignment="1">
      <alignment horizontal="center" vertical="center"/>
    </xf>
    <xf numFmtId="37" fontId="10" fillId="2" borderId="14" xfId="0" applyNumberFormat="1" applyFont="1" applyFill="1" applyBorder="1" applyAlignment="1">
      <alignment horizontal="right" indent="1"/>
    </xf>
    <xf numFmtId="37" fontId="10" fillId="2" borderId="0" xfId="0" applyNumberFormat="1" applyFont="1" applyFill="1"/>
    <xf numFmtId="37" fontId="30" fillId="0" borderId="0" xfId="0" applyNumberFormat="1" applyFont="1"/>
    <xf numFmtId="37" fontId="10" fillId="0" borderId="0" xfId="0" applyNumberFormat="1" applyFont="1" applyAlignment="1">
      <alignment horizontal="center"/>
    </xf>
    <xf numFmtId="5" fontId="10" fillId="2" borderId="0" xfId="0" applyNumberFormat="1" applyFont="1" applyFill="1"/>
    <xf numFmtId="5" fontId="11" fillId="0" borderId="2" xfId="0" applyNumberFormat="1" applyFont="1" applyBorder="1"/>
    <xf numFmtId="7" fontId="10" fillId="0" borderId="0" xfId="0" applyNumberFormat="1" applyFont="1"/>
    <xf numFmtId="0" fontId="10" fillId="0" borderId="0" xfId="0" applyFont="1"/>
    <xf numFmtId="37" fontId="22" fillId="0" borderId="0" xfId="0" applyNumberFormat="1" applyFont="1" applyAlignment="1">
      <alignment horizontal="right"/>
    </xf>
    <xf numFmtId="165" fontId="22" fillId="0" borderId="0" xfId="0" quotePrefix="1" applyNumberFormat="1" applyFont="1" applyAlignment="1">
      <alignment horizontal="right" wrapText="1"/>
    </xf>
    <xf numFmtId="37" fontId="10" fillId="0" borderId="4" xfId="0" applyNumberFormat="1" applyFont="1" applyBorder="1"/>
    <xf numFmtId="37" fontId="10" fillId="0" borderId="8" xfId="0" applyNumberFormat="1" applyFont="1" applyBorder="1" applyAlignment="1">
      <alignment horizontal="center"/>
    </xf>
    <xf numFmtId="37" fontId="10" fillId="0" borderId="4" xfId="0" applyNumberFormat="1" applyFont="1" applyBorder="1" applyAlignment="1">
      <alignment horizontal="center"/>
    </xf>
    <xf numFmtId="37" fontId="11" fillId="0" borderId="13" xfId="0" applyNumberFormat="1" applyFont="1" applyBorder="1" applyAlignment="1">
      <alignment horizontal="center" wrapText="1"/>
    </xf>
    <xf numFmtId="37" fontId="11" fillId="0" borderId="27" xfId="0" applyNumberFormat="1" applyFont="1" applyBorder="1" applyAlignment="1">
      <alignment horizontal="center" wrapText="1"/>
    </xf>
    <xf numFmtId="37" fontId="21" fillId="0" borderId="17" xfId="0" applyNumberFormat="1" applyFont="1" applyBorder="1" applyAlignment="1">
      <alignment horizontal="center" vertical="center" wrapText="1"/>
    </xf>
    <xf numFmtId="37" fontId="21" fillId="0" borderId="18" xfId="0" applyNumberFormat="1" applyFont="1" applyBorder="1" applyAlignment="1">
      <alignment horizontal="center" vertical="center" wrapText="1"/>
    </xf>
    <xf numFmtId="5" fontId="10" fillId="2" borderId="19" xfId="0" applyNumberFormat="1" applyFont="1" applyFill="1" applyBorder="1" applyAlignment="1">
      <alignment horizontal="right" indent="1"/>
    </xf>
    <xf numFmtId="5" fontId="10" fillId="2" borderId="20" xfId="0" applyNumberFormat="1" applyFont="1" applyFill="1" applyBorder="1" applyAlignment="1">
      <alignment horizontal="right" indent="1"/>
    </xf>
    <xf numFmtId="5" fontId="10" fillId="2" borderId="14" xfId="0" applyNumberFormat="1" applyFont="1" applyFill="1" applyBorder="1" applyAlignment="1">
      <alignment horizontal="right" indent="1"/>
    </xf>
    <xf numFmtId="5" fontId="10" fillId="2" borderId="29" xfId="0" applyNumberFormat="1" applyFont="1" applyFill="1" applyBorder="1" applyAlignment="1">
      <alignment horizontal="right" indent="1"/>
    </xf>
    <xf numFmtId="5" fontId="10" fillId="2" borderId="30" xfId="0" applyNumberFormat="1" applyFont="1" applyFill="1" applyBorder="1" applyAlignment="1">
      <alignment horizontal="right" indent="1"/>
    </xf>
    <xf numFmtId="37" fontId="10" fillId="0" borderId="21" xfId="0" applyNumberFormat="1" applyFont="1" applyBorder="1" applyAlignment="1">
      <alignment horizontal="right" indent="1"/>
    </xf>
    <xf numFmtId="37" fontId="10" fillId="0" borderId="31" xfId="0" applyNumberFormat="1" applyFont="1" applyBorder="1" applyAlignment="1">
      <alignment horizontal="right" indent="1"/>
    </xf>
    <xf numFmtId="37" fontId="10" fillId="2" borderId="21" xfId="0" applyNumberFormat="1" applyFont="1" applyFill="1" applyBorder="1" applyAlignment="1">
      <alignment horizontal="right" indent="1"/>
    </xf>
    <xf numFmtId="37" fontId="10" fillId="2" borderId="31" xfId="0" applyNumberFormat="1" applyFont="1" applyFill="1" applyBorder="1" applyAlignment="1">
      <alignment horizontal="right" indent="1"/>
    </xf>
    <xf numFmtId="5" fontId="10" fillId="0" borderId="31" xfId="0" applyNumberFormat="1" applyFont="1" applyBorder="1" applyAlignment="1">
      <alignment horizontal="right" indent="1"/>
    </xf>
    <xf numFmtId="5" fontId="10" fillId="2" borderId="31" xfId="0" applyNumberFormat="1" applyFont="1" applyFill="1" applyBorder="1" applyAlignment="1">
      <alignment horizontal="right" indent="1"/>
    </xf>
    <xf numFmtId="5" fontId="11" fillId="0" borderId="17" xfId="0" applyNumberFormat="1" applyFont="1" applyBorder="1" applyAlignment="1">
      <alignment horizontal="right" indent="1"/>
    </xf>
    <xf numFmtId="5" fontId="11" fillId="0" borderId="18" xfId="0" applyNumberFormat="1" applyFont="1" applyBorder="1" applyAlignment="1">
      <alignment horizontal="right" indent="1"/>
    </xf>
    <xf numFmtId="5" fontId="11" fillId="0" borderId="28" xfId="0" applyNumberFormat="1" applyFont="1" applyBorder="1" applyAlignment="1">
      <alignment horizontal="right" indent="1"/>
    </xf>
    <xf numFmtId="5" fontId="11" fillId="0" borderId="23" xfId="0" applyNumberFormat="1" applyFont="1" applyBorder="1" applyAlignment="1">
      <alignment horizontal="right" indent="1"/>
    </xf>
    <xf numFmtId="5" fontId="11" fillId="0" borderId="24" xfId="0" applyNumberFormat="1" applyFont="1" applyBorder="1" applyAlignment="1">
      <alignment horizontal="right" indent="1"/>
    </xf>
    <xf numFmtId="5" fontId="11" fillId="0" borderId="32" xfId="0" applyNumberFormat="1" applyFont="1" applyBorder="1" applyAlignment="1">
      <alignment horizontal="right" indent="1"/>
    </xf>
    <xf numFmtId="37" fontId="11" fillId="3" borderId="0" xfId="0" applyNumberFormat="1" applyFont="1" applyFill="1" applyAlignment="1">
      <alignment horizontal="center"/>
    </xf>
    <xf numFmtId="37" fontId="11" fillId="0" borderId="0" xfId="0" applyNumberFormat="1" applyFont="1"/>
    <xf numFmtId="37" fontId="29" fillId="0" borderId="0" xfId="0" applyNumberFormat="1" applyFont="1" applyAlignment="1">
      <alignment horizontal="center"/>
    </xf>
    <xf numFmtId="37" fontId="27" fillId="3" borderId="0" xfId="0" applyNumberFormat="1" applyFont="1" applyFill="1" applyAlignment="1">
      <alignment horizontal="center"/>
    </xf>
    <xf numFmtId="37" fontId="0" fillId="0" borderId="21" xfId="0" applyNumberFormat="1" applyBorder="1" applyAlignment="1">
      <alignment horizontal="center"/>
    </xf>
    <xf numFmtId="37" fontId="2" fillId="0" borderId="15" xfId="0" applyNumberFormat="1" applyFont="1" applyBorder="1" applyAlignment="1">
      <alignment horizontal="center" wrapText="1"/>
    </xf>
    <xf numFmtId="37" fontId="12" fillId="0" borderId="17" xfId="0" applyNumberFormat="1" applyFont="1" applyBorder="1" applyAlignment="1">
      <alignment horizontal="center" vertical="center"/>
    </xf>
    <xf numFmtId="0" fontId="27" fillId="0" borderId="0" xfId="0" applyFont="1"/>
    <xf numFmtId="167" fontId="0" fillId="0" borderId="0" xfId="56" applyNumberFormat="1" applyFont="1"/>
    <xf numFmtId="37" fontId="0" fillId="0" borderId="0" xfId="0" applyNumberFormat="1" applyAlignment="1">
      <alignment horizontal="right"/>
    </xf>
    <xf numFmtId="37" fontId="2" fillId="0" borderId="0" xfId="0" applyNumberFormat="1" applyFont="1" applyAlignment="1">
      <alignment vertical="center"/>
    </xf>
    <xf numFmtId="10" fontId="10" fillId="0" borderId="0" xfId="56" applyNumberFormat="1" applyFont="1"/>
    <xf numFmtId="37" fontId="29" fillId="0" borderId="0" xfId="0" applyNumberFormat="1" applyFont="1" applyAlignment="1">
      <alignment horizontal="right"/>
    </xf>
    <xf numFmtId="37" fontId="27" fillId="2" borderId="0" xfId="0" applyNumberFormat="1" applyFont="1" applyFill="1" applyAlignment="1">
      <alignment horizontal="right" indent="1"/>
    </xf>
    <xf numFmtId="37" fontId="27" fillId="0" borderId="0" xfId="0" applyNumberFormat="1" applyFont="1" applyAlignment="1">
      <alignment horizontal="right" indent="1"/>
    </xf>
    <xf numFmtId="7" fontId="0" fillId="0" borderId="0" xfId="0" applyNumberFormat="1" applyAlignment="1">
      <alignment vertical="top"/>
    </xf>
    <xf numFmtId="0" fontId="31" fillId="0" borderId="0" xfId="0" applyFont="1"/>
    <xf numFmtId="10" fontId="0" fillId="0" borderId="0" xfId="56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/>
    </xf>
    <xf numFmtId="43" fontId="0" fillId="0" borderId="0" xfId="57" applyFont="1"/>
    <xf numFmtId="168" fontId="0" fillId="0" borderId="0" xfId="0" applyNumberFormat="1"/>
    <xf numFmtId="39" fontId="0" fillId="0" borderId="0" xfId="0" applyNumberFormat="1"/>
    <xf numFmtId="37" fontId="0" fillId="4" borderId="0" xfId="0" applyNumberFormat="1" applyFill="1"/>
    <xf numFmtId="37" fontId="27" fillId="0" borderId="0" xfId="0" applyNumberFormat="1" applyFont="1" applyAlignment="1">
      <alignment wrapText="1"/>
    </xf>
    <xf numFmtId="37" fontId="21" fillId="0" borderId="28" xfId="0" applyNumberFormat="1" applyFont="1" applyBorder="1" applyAlignment="1">
      <alignment horizontal="center" vertical="center" wrapText="1"/>
    </xf>
    <xf numFmtId="37" fontId="32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top"/>
    </xf>
    <xf numFmtId="5" fontId="10" fillId="2" borderId="21" xfId="0" applyNumberFormat="1" applyFont="1" applyFill="1" applyBorder="1" applyAlignment="1">
      <alignment horizontal="right" indent="1"/>
    </xf>
    <xf numFmtId="37" fontId="11" fillId="2" borderId="0" xfId="0" applyNumberFormat="1" applyFont="1" applyFill="1" applyAlignment="1">
      <alignment horizontal="right" indent="1"/>
    </xf>
    <xf numFmtId="37" fontId="2" fillId="0" borderId="11" xfId="0" applyNumberFormat="1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37" fontId="11" fillId="0" borderId="0" xfId="0" applyNumberFormat="1" applyFont="1" applyAlignment="1">
      <alignment horizontal="center"/>
    </xf>
    <xf numFmtId="37" fontId="11" fillId="0" borderId="8" xfId="0" applyNumberFormat="1" applyFont="1" applyBorder="1" applyAlignment="1">
      <alignment horizontal="center"/>
    </xf>
    <xf numFmtId="165" fontId="8" fillId="0" borderId="0" xfId="0" quotePrefix="1" applyNumberFormat="1" applyFont="1" applyAlignment="1">
      <alignment horizontal="right" wrapText="1"/>
    </xf>
    <xf numFmtId="37" fontId="2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37" fontId="21" fillId="0" borderId="6" xfId="0" applyNumberFormat="1" applyFont="1" applyBorder="1" applyAlignment="1">
      <alignment horizontal="center" vertical="center" wrapText="1"/>
    </xf>
    <xf numFmtId="37" fontId="21" fillId="0" borderId="1" xfId="0" applyNumberFormat="1" applyFont="1" applyBorder="1" applyAlignment="1">
      <alignment horizontal="center" vertical="center" wrapText="1"/>
    </xf>
    <xf numFmtId="37" fontId="0" fillId="0" borderId="0" xfId="0" applyNumberFormat="1" applyAlignment="1">
      <alignment horizontal="left" vertical="top" wrapText="1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FFFFCC"/>
      <color rgb="FFD7D7D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37"/>
  <sheetViews>
    <sheetView tabSelected="1" zoomScaleNormal="100" workbookViewId="0"/>
  </sheetViews>
  <sheetFormatPr defaultColWidth="8.85546875" defaultRowHeight="15"/>
  <cols>
    <col min="1" max="1" width="29.7109375" style="3" customWidth="1"/>
    <col min="2" max="3" width="16.7109375" style="3" customWidth="1"/>
    <col min="4" max="4" width="14.7109375" style="109" customWidth="1"/>
    <col min="5" max="5" width="15.7109375" style="109" customWidth="1"/>
    <col min="6" max="7" width="16.7109375" style="109" customWidth="1"/>
    <col min="8" max="8" width="17.7109375" style="109" customWidth="1"/>
    <col min="9" max="11" width="16.7109375" style="109" customWidth="1"/>
    <col min="12" max="12" width="11.85546875" style="3" bestFit="1" customWidth="1"/>
    <col min="13" max="13" width="12.85546875" style="3" bestFit="1" customWidth="1"/>
    <col min="14" max="14" width="12.5703125" style="3" customWidth="1"/>
    <col min="15" max="16384" width="8.85546875" style="3"/>
  </cols>
  <sheetData>
    <row r="1" spans="1:14" ht="18.75" customHeight="1">
      <c r="A1" s="2" t="s">
        <v>0</v>
      </c>
      <c r="B1" s="2"/>
      <c r="K1" s="119" t="s">
        <v>95</v>
      </c>
    </row>
    <row r="2" spans="1:14" ht="18.75" customHeight="1">
      <c r="A2" s="2" t="s">
        <v>96</v>
      </c>
      <c r="B2" s="2"/>
      <c r="K2" s="120"/>
    </row>
    <row r="3" spans="1:14" ht="20.100000000000001" customHeight="1">
      <c r="A3" s="2"/>
      <c r="B3" s="2"/>
      <c r="C3" s="174" t="s">
        <v>1</v>
      </c>
      <c r="D3" s="175"/>
      <c r="E3" s="175"/>
      <c r="F3" s="176"/>
      <c r="G3" s="177" t="s">
        <v>2</v>
      </c>
      <c r="H3" s="178"/>
      <c r="I3" s="178"/>
      <c r="J3" s="179"/>
      <c r="K3" s="121"/>
    </row>
    <row r="4" spans="1:14" ht="15" customHeight="1">
      <c r="A4" s="6"/>
      <c r="B4" s="4">
        <v>-1</v>
      </c>
      <c r="C4" s="34">
        <f t="shared" ref="C4:J4" si="0">B4-1</f>
        <v>-2</v>
      </c>
      <c r="D4" s="114">
        <f t="shared" si="0"/>
        <v>-3</v>
      </c>
      <c r="E4" s="114">
        <f t="shared" si="0"/>
        <v>-4</v>
      </c>
      <c r="F4" s="122">
        <f t="shared" si="0"/>
        <v>-5</v>
      </c>
      <c r="G4" s="123">
        <f t="shared" si="0"/>
        <v>-6</v>
      </c>
      <c r="H4" s="114">
        <f t="shared" ref="H4" si="1">G4-1</f>
        <v>-7</v>
      </c>
      <c r="I4" s="114">
        <f t="shared" ref="I4" si="2">H4-1</f>
        <v>-8</v>
      </c>
      <c r="J4" s="114">
        <f t="shared" si="0"/>
        <v>-9</v>
      </c>
      <c r="K4" s="123">
        <f>J4-1</f>
        <v>-10</v>
      </c>
    </row>
    <row r="5" spans="1:14" ht="60" customHeight="1">
      <c r="A5" s="9"/>
      <c r="B5" s="21" t="s">
        <v>114</v>
      </c>
      <c r="C5" s="75" t="s">
        <v>46</v>
      </c>
      <c r="D5" s="78" t="s">
        <v>48</v>
      </c>
      <c r="E5" s="81" t="s">
        <v>115</v>
      </c>
      <c r="F5" s="124" t="s">
        <v>50</v>
      </c>
      <c r="G5" s="38" t="s">
        <v>108</v>
      </c>
      <c r="H5" s="125" t="s">
        <v>116</v>
      </c>
      <c r="I5" s="125" t="s">
        <v>117</v>
      </c>
      <c r="J5" s="22" t="s">
        <v>109</v>
      </c>
      <c r="K5" s="38" t="s">
        <v>118</v>
      </c>
    </row>
    <row r="6" spans="1:14" ht="24" customHeight="1">
      <c r="A6" s="26"/>
      <c r="B6" s="37" t="s">
        <v>47</v>
      </c>
      <c r="C6" s="76" t="s">
        <v>47</v>
      </c>
      <c r="D6" s="126" t="s">
        <v>139</v>
      </c>
      <c r="E6" s="127" t="s">
        <v>140</v>
      </c>
      <c r="F6" s="100" t="str">
        <f>"(Sum Col. "&amp;-C4&amp;"-"&amp;-E4&amp;")"</f>
        <v>(Sum Col. 2-4)</v>
      </c>
      <c r="G6" s="96" t="s">
        <v>92</v>
      </c>
      <c r="H6" s="169" t="s">
        <v>76</v>
      </c>
      <c r="I6" s="169" t="s">
        <v>93</v>
      </c>
      <c r="J6" s="86" t="str">
        <f>"(Sum Col. "&amp;-G4&amp;"-"&amp;-I4&amp;")"</f>
        <v>(Sum Col. 6-8)</v>
      </c>
      <c r="K6" s="96" t="str">
        <f>"(Cols. "&amp;-F4&amp;" + "&amp;-J4&amp;")"</f>
        <v>(Cols. 5 + 9)</v>
      </c>
    </row>
    <row r="7" spans="1:14" s="5" customFormat="1" ht="20.100000000000001" customHeight="1">
      <c r="A7" s="12" t="s">
        <v>3</v>
      </c>
      <c r="B7" s="42">
        <v>169222000</v>
      </c>
      <c r="C7" s="47">
        <v>106915000</v>
      </c>
      <c r="D7" s="128">
        <f>'Attach B-Rev to Expenditures'!K7</f>
        <v>3159000</v>
      </c>
      <c r="E7" s="129">
        <f>'Attach C-ExpenditureAdjustments'!K7</f>
        <v>2666000</v>
      </c>
      <c r="F7" s="60">
        <f>C7+D7+E7</f>
        <v>112740000</v>
      </c>
      <c r="G7" s="130">
        <f>'Attach D-Enroll + Tuition&amp;Fees'!J7+'Attach D-Enroll + Tuition&amp;Fees'!K7</f>
        <v>57729000</v>
      </c>
      <c r="H7" s="131"/>
      <c r="I7" s="131">
        <f>'Attach D-Enroll + Tuition&amp;Fees'!M7</f>
        <v>3179000</v>
      </c>
      <c r="J7" s="132">
        <f t="shared" ref="J7:J29" si="3">SUM(G7:I7)</f>
        <v>60908000</v>
      </c>
      <c r="K7" s="130">
        <f>F7+J7</f>
        <v>173648000</v>
      </c>
      <c r="L7" s="13"/>
      <c r="M7" s="11"/>
      <c r="N7" s="14"/>
    </row>
    <row r="8" spans="1:14" ht="15" customHeight="1">
      <c r="A8" s="3" t="s">
        <v>4</v>
      </c>
      <c r="B8" s="41">
        <v>138161000</v>
      </c>
      <c r="C8" s="48">
        <v>100129000</v>
      </c>
      <c r="D8" s="133">
        <f>'Attach B-Rev to Expenditures'!K8</f>
        <v>863000</v>
      </c>
      <c r="E8" s="93">
        <f>'Attach C-ExpenditureAdjustments'!K8</f>
        <v>790000</v>
      </c>
      <c r="F8" s="61">
        <f t="shared" ref="F8:F29" si="4">C8+D8+E8</f>
        <v>101782000</v>
      </c>
      <c r="G8" s="63">
        <f>'Attach D-Enroll + Tuition&amp;Fees'!J8+'Attach D-Enroll + Tuition&amp;Fees'!K8</f>
        <v>32160000</v>
      </c>
      <c r="H8" s="134"/>
      <c r="I8" s="134">
        <f>'Attach D-Enroll + Tuition&amp;Fees'!M8</f>
        <v>1789000</v>
      </c>
      <c r="J8" s="61">
        <f t="shared" si="3"/>
        <v>33949000</v>
      </c>
      <c r="K8" s="63">
        <f t="shared" ref="K8:K29" si="5">F8+J8</f>
        <v>135731000</v>
      </c>
      <c r="L8" s="36"/>
      <c r="M8" s="11"/>
      <c r="N8" s="14"/>
    </row>
    <row r="9" spans="1:14" ht="15" customHeight="1">
      <c r="A9" s="8" t="s">
        <v>5</v>
      </c>
      <c r="B9" s="39">
        <v>245788000</v>
      </c>
      <c r="C9" s="45">
        <v>156905000</v>
      </c>
      <c r="D9" s="135">
        <f>'Attach B-Rev to Expenditures'!K9</f>
        <v>453000</v>
      </c>
      <c r="E9" s="70">
        <f>'Attach C-ExpenditureAdjustments'!K9</f>
        <v>2419000</v>
      </c>
      <c r="F9" s="43">
        <f t="shared" si="4"/>
        <v>159777000</v>
      </c>
      <c r="G9" s="49">
        <f>'Attach D-Enroll + Tuition&amp;Fees'!J9+'Attach D-Enroll + Tuition&amp;Fees'!K9</f>
        <v>88722000</v>
      </c>
      <c r="H9" s="136"/>
      <c r="I9" s="136">
        <f>'Attach D-Enroll + Tuition&amp;Fees'!M9</f>
        <v>4484000</v>
      </c>
      <c r="J9" s="43">
        <f t="shared" si="3"/>
        <v>93206000</v>
      </c>
      <c r="K9" s="49">
        <f t="shared" si="5"/>
        <v>252983000</v>
      </c>
      <c r="L9" s="13"/>
      <c r="M9" s="11"/>
      <c r="N9" s="14"/>
    </row>
    <row r="10" spans="1:14" ht="15" customHeight="1">
      <c r="A10" s="3" t="s">
        <v>6</v>
      </c>
      <c r="B10" s="41">
        <v>235982000</v>
      </c>
      <c r="C10" s="48">
        <v>137679000</v>
      </c>
      <c r="D10" s="133">
        <f>'Attach B-Rev to Expenditures'!K10</f>
        <v>3285000</v>
      </c>
      <c r="E10" s="93">
        <f>'Attach C-ExpenditureAdjustments'!K10</f>
        <v>-1099000</v>
      </c>
      <c r="F10" s="61">
        <f t="shared" si="4"/>
        <v>139865000</v>
      </c>
      <c r="G10" s="63">
        <f>'Attach D-Enroll + Tuition&amp;Fees'!J10+'Attach D-Enroll + Tuition&amp;Fees'!K10</f>
        <v>98742000</v>
      </c>
      <c r="H10" s="137"/>
      <c r="I10" s="137">
        <f>'Attach D-Enroll + Tuition&amp;Fees'!M10</f>
        <v>4642000</v>
      </c>
      <c r="J10" s="61">
        <f t="shared" si="3"/>
        <v>103384000</v>
      </c>
      <c r="K10" s="63">
        <f t="shared" si="5"/>
        <v>243249000</v>
      </c>
      <c r="L10" s="36"/>
      <c r="M10" s="11"/>
      <c r="N10" s="14"/>
    </row>
    <row r="11" spans="1:14" ht="15" customHeight="1">
      <c r="A11" s="8" t="s">
        <v>7</v>
      </c>
      <c r="B11" s="39">
        <v>210816000</v>
      </c>
      <c r="C11" s="45">
        <v>128733000</v>
      </c>
      <c r="D11" s="135">
        <f>'Attach B-Rev to Expenditures'!K11</f>
        <v>885000</v>
      </c>
      <c r="E11" s="70">
        <f>'Attach C-ExpenditureAdjustments'!K11</f>
        <v>1205000</v>
      </c>
      <c r="F11" s="43">
        <f t="shared" si="4"/>
        <v>130823000</v>
      </c>
      <c r="G11" s="49">
        <f>'Attach D-Enroll + Tuition&amp;Fees'!J11+'Attach D-Enroll + Tuition&amp;Fees'!K11</f>
        <v>88375000</v>
      </c>
      <c r="H11" s="136"/>
      <c r="I11" s="136">
        <f>'Attach D-Enroll + Tuition&amp;Fees'!M11</f>
        <v>4144000</v>
      </c>
      <c r="J11" s="43">
        <f t="shared" si="3"/>
        <v>92519000</v>
      </c>
      <c r="K11" s="49">
        <f t="shared" si="5"/>
        <v>223342000</v>
      </c>
      <c r="L11" s="13"/>
      <c r="M11" s="11"/>
      <c r="N11" s="14"/>
    </row>
    <row r="12" spans="1:14" ht="15" customHeight="1">
      <c r="A12" s="3" t="s">
        <v>8</v>
      </c>
      <c r="B12" s="41">
        <v>365938000</v>
      </c>
      <c r="C12" s="48">
        <v>219007000</v>
      </c>
      <c r="D12" s="133">
        <f>'Attach B-Rev to Expenditures'!K12</f>
        <v>6203000</v>
      </c>
      <c r="E12" s="93">
        <f>'Attach C-ExpenditureAdjustments'!K12</f>
        <v>2118000</v>
      </c>
      <c r="F12" s="61">
        <f t="shared" si="4"/>
        <v>227328000</v>
      </c>
      <c r="G12" s="63">
        <f>'Attach D-Enroll + Tuition&amp;Fees'!J12+'Attach D-Enroll + Tuition&amp;Fees'!K12</f>
        <v>146931000</v>
      </c>
      <c r="H12" s="134"/>
      <c r="I12" s="134">
        <f>'Attach D-Enroll + Tuition&amp;Fees'!M12</f>
        <v>7861000</v>
      </c>
      <c r="J12" s="61">
        <f t="shared" si="3"/>
        <v>154792000</v>
      </c>
      <c r="K12" s="63">
        <f t="shared" si="5"/>
        <v>382120000</v>
      </c>
      <c r="L12" s="36"/>
      <c r="M12" s="11"/>
      <c r="N12" s="14"/>
    </row>
    <row r="13" spans="1:14" ht="15" customHeight="1">
      <c r="A13" s="8" t="s">
        <v>9</v>
      </c>
      <c r="B13" s="39">
        <v>542452000</v>
      </c>
      <c r="C13" s="45">
        <v>286317000</v>
      </c>
      <c r="D13" s="135">
        <f>'Attach B-Rev to Expenditures'!K13</f>
        <v>14850000</v>
      </c>
      <c r="E13" s="70">
        <f>'Attach C-ExpenditureAdjustments'!K13</f>
        <v>7116000</v>
      </c>
      <c r="F13" s="43">
        <f t="shared" si="4"/>
        <v>308283000</v>
      </c>
      <c r="G13" s="49">
        <f>'Attach D-Enroll + Tuition&amp;Fees'!J13+'Attach D-Enroll + Tuition&amp;Fees'!K13</f>
        <v>259529000</v>
      </c>
      <c r="H13" s="138">
        <f>'Attach D-Enroll + Tuition&amp;Fees'!L13</f>
        <v>5611000</v>
      </c>
      <c r="I13" s="136">
        <f>'Attach D-Enroll + Tuition&amp;Fees'!M13</f>
        <v>13937000</v>
      </c>
      <c r="J13" s="43">
        <f t="shared" si="3"/>
        <v>279077000</v>
      </c>
      <c r="K13" s="49">
        <f t="shared" si="5"/>
        <v>587360000</v>
      </c>
      <c r="L13" s="13"/>
      <c r="M13" s="11"/>
      <c r="N13" s="14"/>
    </row>
    <row r="14" spans="1:14" ht="15" customHeight="1">
      <c r="A14" s="3" t="s">
        <v>10</v>
      </c>
      <c r="B14" s="41">
        <v>150863000</v>
      </c>
      <c r="C14" s="48">
        <v>113764000</v>
      </c>
      <c r="D14" s="133">
        <f>'Attach B-Rev to Expenditures'!K14</f>
        <v>989000</v>
      </c>
      <c r="E14" s="93">
        <f>'Attach C-ExpenditureAdjustments'!K14</f>
        <v>1343000</v>
      </c>
      <c r="F14" s="61">
        <f t="shared" si="4"/>
        <v>116096000</v>
      </c>
      <c r="G14" s="63">
        <f>'Attach D-Enroll + Tuition&amp;Fees'!J14+'Attach D-Enroll + Tuition&amp;Fees'!K14</f>
        <v>40984000</v>
      </c>
      <c r="H14" s="134"/>
      <c r="I14" s="134">
        <f>'Attach D-Enroll + Tuition&amp;Fees'!M14</f>
        <v>2084000</v>
      </c>
      <c r="J14" s="61">
        <f t="shared" si="3"/>
        <v>43068000</v>
      </c>
      <c r="K14" s="63">
        <f t="shared" si="5"/>
        <v>159164000</v>
      </c>
      <c r="L14" s="36"/>
      <c r="M14" s="11"/>
      <c r="N14" s="14"/>
    </row>
    <row r="15" spans="1:14" ht="15" customHeight="1">
      <c r="A15" s="8" t="s">
        <v>11</v>
      </c>
      <c r="B15" s="43">
        <v>556109000</v>
      </c>
      <c r="C15" s="49">
        <v>300415000</v>
      </c>
      <c r="D15" s="135">
        <f>'Attach B-Rev to Expenditures'!K15</f>
        <v>13901000</v>
      </c>
      <c r="E15" s="70">
        <f>'Attach C-ExpenditureAdjustments'!K15</f>
        <v>4695000</v>
      </c>
      <c r="F15" s="43">
        <f t="shared" si="4"/>
        <v>319011000</v>
      </c>
      <c r="G15" s="49">
        <f>'Attach D-Enroll + Tuition&amp;Fees'!J15+'Attach D-Enroll + Tuition&amp;Fees'!K15</f>
        <v>259653000</v>
      </c>
      <c r="H15" s="136">
        <f>'Attach D-Enroll + Tuition&amp;Fees'!L15</f>
        <v>3849000</v>
      </c>
      <c r="I15" s="136">
        <f>'Attach D-Enroll + Tuition&amp;Fees'!M15</f>
        <v>13305000</v>
      </c>
      <c r="J15" s="43">
        <f t="shared" si="3"/>
        <v>276807000</v>
      </c>
      <c r="K15" s="49">
        <f t="shared" si="5"/>
        <v>595818000</v>
      </c>
      <c r="L15" s="13"/>
      <c r="M15" s="11"/>
      <c r="N15" s="14"/>
    </row>
    <row r="16" spans="1:14" ht="15" customHeight="1">
      <c r="A16" s="3" t="s">
        <v>12</v>
      </c>
      <c r="B16" s="41">
        <v>373171000</v>
      </c>
      <c r="C16" s="48">
        <v>218303000</v>
      </c>
      <c r="D16" s="133">
        <f>'Attach B-Rev to Expenditures'!K16</f>
        <v>5136000</v>
      </c>
      <c r="E16" s="93">
        <f>'Attach C-ExpenditureAdjustments'!K16</f>
        <v>2501000</v>
      </c>
      <c r="F16" s="61">
        <f t="shared" si="4"/>
        <v>225940000</v>
      </c>
      <c r="G16" s="63">
        <f>'Attach D-Enroll + Tuition&amp;Fees'!J16+'Attach D-Enroll + Tuition&amp;Fees'!K16</f>
        <v>158083000</v>
      </c>
      <c r="H16" s="134">
        <f>'Attach D-Enroll + Tuition&amp;Fees'!L16</f>
        <v>852000</v>
      </c>
      <c r="I16" s="134">
        <f>'Attach D-Enroll + Tuition&amp;Fees'!M16</f>
        <v>8539000</v>
      </c>
      <c r="J16" s="61">
        <f t="shared" si="3"/>
        <v>167474000</v>
      </c>
      <c r="K16" s="63">
        <f t="shared" si="5"/>
        <v>393414000</v>
      </c>
      <c r="L16" s="36"/>
      <c r="M16" s="11"/>
      <c r="N16" s="14"/>
    </row>
    <row r="17" spans="1:14" ht="15" customHeight="1">
      <c r="A17" s="8" t="s">
        <v>13</v>
      </c>
      <c r="B17" s="39">
        <v>49718000</v>
      </c>
      <c r="C17" s="45">
        <v>40547000</v>
      </c>
      <c r="D17" s="135">
        <f>'Attach B-Rev to Expenditures'!K17</f>
        <v>433000</v>
      </c>
      <c r="E17" s="70">
        <f>'Attach C-ExpenditureAdjustments'!K17</f>
        <v>498000</v>
      </c>
      <c r="F17" s="43">
        <f t="shared" si="4"/>
        <v>41478000</v>
      </c>
      <c r="G17" s="49">
        <f>'Attach D-Enroll + Tuition&amp;Fees'!J17+'Attach D-Enroll + Tuition&amp;Fees'!K17</f>
        <v>8804000</v>
      </c>
      <c r="H17" s="136"/>
      <c r="I17" s="136">
        <f>'Attach D-Enroll + Tuition&amp;Fees'!M17</f>
        <v>317000</v>
      </c>
      <c r="J17" s="43">
        <f t="shared" si="3"/>
        <v>9121000</v>
      </c>
      <c r="K17" s="49">
        <f t="shared" si="5"/>
        <v>50599000</v>
      </c>
      <c r="L17" s="13"/>
      <c r="M17" s="11"/>
      <c r="N17" s="14"/>
    </row>
    <row r="18" spans="1:14" ht="15" customHeight="1">
      <c r="A18" s="3" t="s">
        <v>14</v>
      </c>
      <c r="B18" s="41">
        <v>143913000</v>
      </c>
      <c r="C18" s="48">
        <v>100015000</v>
      </c>
      <c r="D18" s="133">
        <f>'Attach B-Rev to Expenditures'!K18</f>
        <v>932000</v>
      </c>
      <c r="E18" s="93">
        <f>'Attach C-ExpenditureAdjustments'!K18</f>
        <v>1062000</v>
      </c>
      <c r="F18" s="61">
        <f t="shared" si="4"/>
        <v>102009000</v>
      </c>
      <c r="G18" s="63">
        <f>'Attach D-Enroll + Tuition&amp;Fees'!J18+'Attach D-Enroll + Tuition&amp;Fees'!K18</f>
        <v>43126000</v>
      </c>
      <c r="H18" s="134"/>
      <c r="I18" s="134">
        <f>'Attach D-Enroll + Tuition&amp;Fees'!M18</f>
        <v>2174000</v>
      </c>
      <c r="J18" s="61">
        <f t="shared" si="3"/>
        <v>45300000</v>
      </c>
      <c r="K18" s="63">
        <f t="shared" si="5"/>
        <v>147309000</v>
      </c>
      <c r="L18" s="36"/>
      <c r="M18" s="11"/>
      <c r="N18" s="14"/>
    </row>
    <row r="19" spans="1:14" ht="15" customHeight="1">
      <c r="A19" s="8" t="s">
        <v>15</v>
      </c>
      <c r="B19" s="39">
        <v>523083000</v>
      </c>
      <c r="C19" s="45">
        <v>295050000</v>
      </c>
      <c r="D19" s="135">
        <f>'Attach B-Rev to Expenditures'!K19</f>
        <v>9739000</v>
      </c>
      <c r="E19" s="70">
        <f>'Attach C-ExpenditureAdjustments'!K19</f>
        <v>5631000</v>
      </c>
      <c r="F19" s="43">
        <f t="shared" si="4"/>
        <v>310420000</v>
      </c>
      <c r="G19" s="49">
        <f>'Attach D-Enroll + Tuition&amp;Fees'!J19+'Attach D-Enroll + Tuition&amp;Fees'!K19</f>
        <v>246564000</v>
      </c>
      <c r="H19" s="136">
        <f>'Attach D-Enroll + Tuition&amp;Fees'!L19</f>
        <v>2051000</v>
      </c>
      <c r="I19" s="136">
        <f>'Attach D-Enroll + Tuition&amp;Fees'!M19</f>
        <v>12621000</v>
      </c>
      <c r="J19" s="43">
        <f t="shared" si="3"/>
        <v>261236000</v>
      </c>
      <c r="K19" s="49">
        <f t="shared" si="5"/>
        <v>571656000</v>
      </c>
      <c r="L19" s="13"/>
      <c r="M19" s="11"/>
      <c r="N19" s="14"/>
    </row>
    <row r="20" spans="1:14" ht="15" customHeight="1">
      <c r="A20" s="3" t="s">
        <v>16</v>
      </c>
      <c r="B20" s="41">
        <v>369120000</v>
      </c>
      <c r="C20" s="48">
        <v>213290000</v>
      </c>
      <c r="D20" s="133">
        <f>'Attach B-Rev to Expenditures'!K20</f>
        <v>5628000</v>
      </c>
      <c r="E20" s="93">
        <f>'Attach C-ExpenditureAdjustments'!K20</f>
        <v>1481000</v>
      </c>
      <c r="F20" s="61">
        <f t="shared" si="4"/>
        <v>220399000</v>
      </c>
      <c r="G20" s="63">
        <f>'Attach D-Enroll + Tuition&amp;Fees'!J20+'Attach D-Enroll + Tuition&amp;Fees'!K20</f>
        <v>157871000</v>
      </c>
      <c r="H20" s="134">
        <f>'Attach D-Enroll + Tuition&amp;Fees'!L20</f>
        <v>1740000</v>
      </c>
      <c r="I20" s="134">
        <f>'Attach D-Enroll + Tuition&amp;Fees'!M20</f>
        <v>8649000</v>
      </c>
      <c r="J20" s="61">
        <f t="shared" si="3"/>
        <v>168260000</v>
      </c>
      <c r="K20" s="63">
        <f t="shared" si="5"/>
        <v>388659000</v>
      </c>
      <c r="L20" s="36"/>
      <c r="M20" s="11"/>
      <c r="N20" s="14"/>
    </row>
    <row r="21" spans="1:14" ht="15" customHeight="1">
      <c r="A21" s="8" t="s">
        <v>17</v>
      </c>
      <c r="B21" s="39">
        <v>422387000</v>
      </c>
      <c r="C21" s="45">
        <v>238012000</v>
      </c>
      <c r="D21" s="135">
        <f>'Attach B-Rev to Expenditures'!K21</f>
        <v>3909000</v>
      </c>
      <c r="E21" s="70">
        <f>'Attach C-ExpenditureAdjustments'!K21</f>
        <v>-710000</v>
      </c>
      <c r="F21" s="43">
        <f t="shared" si="4"/>
        <v>241211000</v>
      </c>
      <c r="G21" s="49">
        <f>'Attach D-Enroll + Tuition&amp;Fees'!J21+'Attach D-Enroll + Tuition&amp;Fees'!K21</f>
        <v>194283000</v>
      </c>
      <c r="H21" s="136"/>
      <c r="I21" s="136">
        <f>'Attach D-Enroll + Tuition&amp;Fees'!M21</f>
        <v>9881000</v>
      </c>
      <c r="J21" s="43">
        <f t="shared" si="3"/>
        <v>204164000</v>
      </c>
      <c r="K21" s="49">
        <f t="shared" si="5"/>
        <v>445375000</v>
      </c>
      <c r="L21" s="13"/>
      <c r="M21" s="11"/>
      <c r="N21" s="14"/>
    </row>
    <row r="22" spans="1:14" ht="15" customHeight="1">
      <c r="A22" s="3" t="s">
        <v>18</v>
      </c>
      <c r="B22" s="41">
        <v>292163000</v>
      </c>
      <c r="C22" s="48">
        <v>168188000</v>
      </c>
      <c r="D22" s="133">
        <f>'Attach B-Rev to Expenditures'!K22</f>
        <v>4894000</v>
      </c>
      <c r="E22" s="93">
        <f>'Attach C-ExpenditureAdjustments'!K22</f>
        <v>4624000</v>
      </c>
      <c r="F22" s="61">
        <f t="shared" si="4"/>
        <v>177706000</v>
      </c>
      <c r="G22" s="63">
        <f>'Attach D-Enroll + Tuition&amp;Fees'!J22+'Attach D-Enroll + Tuition&amp;Fees'!K22</f>
        <v>118301000</v>
      </c>
      <c r="H22" s="134"/>
      <c r="I22" s="134">
        <f>'Attach D-Enroll + Tuition&amp;Fees'!M22</f>
        <v>6499000</v>
      </c>
      <c r="J22" s="61">
        <f t="shared" si="3"/>
        <v>124800000</v>
      </c>
      <c r="K22" s="63">
        <f t="shared" si="5"/>
        <v>302506000</v>
      </c>
      <c r="L22" s="36"/>
      <c r="M22" s="11"/>
      <c r="N22" s="14"/>
    </row>
    <row r="23" spans="1:14" ht="15" customHeight="1">
      <c r="A23" s="8" t="s">
        <v>19</v>
      </c>
      <c r="B23" s="39">
        <v>571069000</v>
      </c>
      <c r="C23" s="45">
        <v>288292000</v>
      </c>
      <c r="D23" s="135">
        <f>'Attach B-Rev to Expenditures'!K23</f>
        <v>14919000</v>
      </c>
      <c r="E23" s="70">
        <f>'Attach C-ExpenditureAdjustments'!K23</f>
        <v>-54000</v>
      </c>
      <c r="F23" s="43">
        <f t="shared" si="4"/>
        <v>303157000</v>
      </c>
      <c r="G23" s="49">
        <f>'Attach D-Enroll + Tuition&amp;Fees'!J23+'Attach D-Enroll + Tuition&amp;Fees'!K23</f>
        <v>290742000</v>
      </c>
      <c r="H23" s="136">
        <f>'Attach D-Enroll + Tuition&amp;Fees'!L23</f>
        <v>3464000</v>
      </c>
      <c r="I23" s="136">
        <f>'Attach D-Enroll + Tuition&amp;Fees'!M23</f>
        <v>13022000</v>
      </c>
      <c r="J23" s="43">
        <f t="shared" si="3"/>
        <v>307228000</v>
      </c>
      <c r="K23" s="49">
        <f t="shared" si="5"/>
        <v>610385000</v>
      </c>
      <c r="L23" s="13"/>
      <c r="M23" s="11"/>
      <c r="N23" s="14"/>
    </row>
    <row r="24" spans="1:14" ht="15" customHeight="1">
      <c r="A24" s="3" t="s">
        <v>20</v>
      </c>
      <c r="B24" s="41">
        <v>422946000</v>
      </c>
      <c r="C24" s="48">
        <v>232504000</v>
      </c>
      <c r="D24" s="133">
        <f>'Attach B-Rev to Expenditures'!K24</f>
        <v>1623000</v>
      </c>
      <c r="E24" s="93">
        <f>'Attach C-ExpenditureAdjustments'!K24</f>
        <v>-995000</v>
      </c>
      <c r="F24" s="61">
        <f t="shared" si="4"/>
        <v>233132000</v>
      </c>
      <c r="G24" s="63">
        <f>'Attach D-Enroll + Tuition&amp;Fees'!J24+'Attach D-Enroll + Tuition&amp;Fees'!K24</f>
        <v>174498000</v>
      </c>
      <c r="H24" s="134"/>
      <c r="I24" s="134">
        <f>'Attach D-Enroll + Tuition&amp;Fees'!M24</f>
        <v>8190000</v>
      </c>
      <c r="J24" s="61">
        <f t="shared" si="3"/>
        <v>182688000</v>
      </c>
      <c r="K24" s="63">
        <f t="shared" si="5"/>
        <v>415820000</v>
      </c>
      <c r="L24" s="36"/>
      <c r="M24" s="11"/>
      <c r="N24" s="14"/>
    </row>
    <row r="25" spans="1:14" ht="15" customHeight="1">
      <c r="A25" s="8" t="s">
        <v>21</v>
      </c>
      <c r="B25" s="39">
        <v>469881000</v>
      </c>
      <c r="C25" s="45">
        <v>233232000</v>
      </c>
      <c r="D25" s="135">
        <f>'Attach B-Rev to Expenditures'!K25</f>
        <v>9934000</v>
      </c>
      <c r="E25" s="70">
        <f>'Attach C-ExpenditureAdjustments'!K25</f>
        <v>-886000</v>
      </c>
      <c r="F25" s="43">
        <f t="shared" si="4"/>
        <v>242280000</v>
      </c>
      <c r="G25" s="49">
        <f>'Attach D-Enroll + Tuition&amp;Fees'!J25+'Attach D-Enroll + Tuition&amp;Fees'!K25</f>
        <v>238321000</v>
      </c>
      <c r="H25" s="136">
        <f>'Attach D-Enroll + Tuition&amp;Fees'!L25</f>
        <v>489000</v>
      </c>
      <c r="I25" s="136">
        <f>'Attach D-Enroll + Tuition&amp;Fees'!M25</f>
        <v>10596000</v>
      </c>
      <c r="J25" s="43">
        <f t="shared" si="3"/>
        <v>249406000</v>
      </c>
      <c r="K25" s="49">
        <f t="shared" si="5"/>
        <v>491686000</v>
      </c>
      <c r="L25" s="13"/>
      <c r="M25" s="11"/>
      <c r="N25" s="14"/>
    </row>
    <row r="26" spans="1:14" ht="15" customHeight="1">
      <c r="A26" s="3" t="s">
        <v>22</v>
      </c>
      <c r="B26" s="41">
        <v>446819000</v>
      </c>
      <c r="C26" s="48">
        <v>196392000</v>
      </c>
      <c r="D26" s="133">
        <f>'Attach B-Rev to Expenditures'!K26</f>
        <v>12185000</v>
      </c>
      <c r="E26" s="93">
        <f>'Attach C-ExpenditureAdjustments'!K26</f>
        <v>441000</v>
      </c>
      <c r="F26" s="61">
        <f t="shared" si="4"/>
        <v>209018000</v>
      </c>
      <c r="G26" s="63">
        <f>'Attach D-Enroll + Tuition&amp;Fees'!J26+'Attach D-Enroll + Tuition&amp;Fees'!K26</f>
        <v>267748000</v>
      </c>
      <c r="H26" s="134"/>
      <c r="I26" s="134">
        <f>'Attach D-Enroll + Tuition&amp;Fees'!M26</f>
        <v>7877000</v>
      </c>
      <c r="J26" s="61">
        <f t="shared" si="3"/>
        <v>275625000</v>
      </c>
      <c r="K26" s="63">
        <f t="shared" si="5"/>
        <v>484643000</v>
      </c>
      <c r="L26" s="36"/>
      <c r="M26" s="11"/>
      <c r="N26" s="14"/>
    </row>
    <row r="27" spans="1:14" ht="15" customHeight="1">
      <c r="A27" s="8" t="s">
        <v>23</v>
      </c>
      <c r="B27" s="39">
        <v>206597000</v>
      </c>
      <c r="C27" s="45">
        <v>123322000</v>
      </c>
      <c r="D27" s="135">
        <f>'Attach B-Rev to Expenditures'!K27</f>
        <v>9455000</v>
      </c>
      <c r="E27" s="70">
        <f>'Attach C-ExpenditureAdjustments'!K27</f>
        <v>6348000</v>
      </c>
      <c r="F27" s="43">
        <f t="shared" si="4"/>
        <v>139125000</v>
      </c>
      <c r="G27" s="49">
        <f>'Attach D-Enroll + Tuition&amp;Fees'!J27+'Attach D-Enroll + Tuition&amp;Fees'!K27</f>
        <v>88688000</v>
      </c>
      <c r="H27" s="136">
        <f>'Attach D-Enroll + Tuition&amp;Fees'!L27</f>
        <v>4619000</v>
      </c>
      <c r="I27" s="136">
        <f>'Attach D-Enroll + Tuition&amp;Fees'!M27</f>
        <v>4814000</v>
      </c>
      <c r="J27" s="43">
        <f t="shared" si="3"/>
        <v>98121000</v>
      </c>
      <c r="K27" s="49">
        <f t="shared" si="5"/>
        <v>237246000</v>
      </c>
      <c r="L27" s="13"/>
      <c r="M27" s="11"/>
      <c r="N27" s="14"/>
    </row>
    <row r="28" spans="1:14" ht="15" customHeight="1">
      <c r="A28" s="3" t="s">
        <v>24</v>
      </c>
      <c r="B28" s="41">
        <v>128932000</v>
      </c>
      <c r="C28" s="48">
        <v>90993000</v>
      </c>
      <c r="D28" s="133">
        <f>'Attach B-Rev to Expenditures'!K28</f>
        <v>376000</v>
      </c>
      <c r="E28" s="93">
        <f>'Attach C-ExpenditureAdjustments'!K28</f>
        <v>265000</v>
      </c>
      <c r="F28" s="61">
        <f t="shared" si="4"/>
        <v>91634000</v>
      </c>
      <c r="G28" s="63">
        <f>'Attach D-Enroll + Tuition&amp;Fees'!J28+'Attach D-Enroll + Tuition&amp;Fees'!K28</f>
        <v>33890000</v>
      </c>
      <c r="H28" s="134"/>
      <c r="I28" s="134">
        <f>'Attach D-Enroll + Tuition&amp;Fees'!M28</f>
        <v>1892000</v>
      </c>
      <c r="J28" s="61">
        <f t="shared" si="3"/>
        <v>35782000</v>
      </c>
      <c r="K28" s="63">
        <f t="shared" si="5"/>
        <v>127416000</v>
      </c>
      <c r="L28" s="36"/>
      <c r="M28" s="11"/>
      <c r="N28" s="14"/>
    </row>
    <row r="29" spans="1:14" ht="15" customHeight="1">
      <c r="A29" s="8" t="s">
        <v>25</v>
      </c>
      <c r="B29" s="39">
        <v>163672000</v>
      </c>
      <c r="C29" s="45">
        <v>101870000</v>
      </c>
      <c r="D29" s="135">
        <f>'Attach B-Rev to Expenditures'!K29</f>
        <v>3105000</v>
      </c>
      <c r="E29" s="70">
        <f>'Attach C-ExpenditureAdjustments'!K29</f>
        <v>1750000</v>
      </c>
      <c r="F29" s="43">
        <f t="shared" si="4"/>
        <v>106725000</v>
      </c>
      <c r="G29" s="49">
        <f>'Attach D-Enroll + Tuition&amp;Fees'!J29+'Attach D-Enroll + Tuition&amp;Fees'!K29</f>
        <v>61170000</v>
      </c>
      <c r="H29" s="136"/>
      <c r="I29" s="136">
        <f>'Attach D-Enroll + Tuition&amp;Fees'!M29</f>
        <v>3352000</v>
      </c>
      <c r="J29" s="43">
        <f t="shared" si="3"/>
        <v>64522000</v>
      </c>
      <c r="K29" s="49">
        <f t="shared" si="5"/>
        <v>171247000</v>
      </c>
      <c r="L29" s="13"/>
      <c r="M29" s="11"/>
      <c r="N29" s="14"/>
    </row>
    <row r="30" spans="1:14" s="5" customFormat="1" ht="20.100000000000001" customHeight="1">
      <c r="A30" s="7" t="s">
        <v>26</v>
      </c>
      <c r="B30" s="44">
        <f>SUM(B7:B29)</f>
        <v>7198802000</v>
      </c>
      <c r="C30" s="50">
        <f t="shared" ref="C30:K30" si="6">SUM(C7:C29)</f>
        <v>4089874000</v>
      </c>
      <c r="D30" s="139">
        <f t="shared" si="6"/>
        <v>126856000</v>
      </c>
      <c r="E30" s="140">
        <f>SUM(E7:E29)</f>
        <v>43209000</v>
      </c>
      <c r="F30" s="105">
        <f t="shared" si="6"/>
        <v>4259939000</v>
      </c>
      <c r="G30" s="64">
        <f t="shared" si="6"/>
        <v>3154914000</v>
      </c>
      <c r="H30" s="141">
        <f>SUM(H7:H29)</f>
        <v>22675000</v>
      </c>
      <c r="I30" s="141">
        <f t="shared" ref="I30" si="7">SUM(I7:I29)</f>
        <v>153848000</v>
      </c>
      <c r="J30" s="105">
        <f t="shared" si="6"/>
        <v>3331437000</v>
      </c>
      <c r="K30" s="64">
        <f t="shared" si="6"/>
        <v>7591376000</v>
      </c>
      <c r="L30" s="32"/>
      <c r="M30" s="11"/>
    </row>
    <row r="31" spans="1:14" ht="20.100000000000001" customHeight="1">
      <c r="A31" s="8" t="s">
        <v>90</v>
      </c>
      <c r="B31" s="39">
        <v>207406000</v>
      </c>
      <c r="C31" s="45">
        <v>196716000</v>
      </c>
      <c r="D31" s="135">
        <f>'Attach B-Rev to Expenditures'!K31</f>
        <v>2440000</v>
      </c>
      <c r="E31" s="70">
        <f>'Attach C-ExpenditureAdjustments'!K31</f>
        <v>1660000</v>
      </c>
      <c r="F31" s="43">
        <f>C31+D31+E31</f>
        <v>200816000</v>
      </c>
      <c r="G31" s="49">
        <f>'Attach D-Enroll + Tuition&amp;Fees'!J31+'Attach D-Enroll + Tuition&amp;Fees'!K31</f>
        <v>11274000</v>
      </c>
      <c r="H31" s="136"/>
      <c r="I31" s="136"/>
      <c r="J31" s="43">
        <f>SUM(G31:I31)</f>
        <v>11274000</v>
      </c>
      <c r="K31" s="49">
        <f t="shared" ref="K31:K35" si="8">F31+J31</f>
        <v>212090000</v>
      </c>
      <c r="M31" s="11"/>
    </row>
    <row r="32" spans="1:14" ht="15" customHeight="1">
      <c r="A32" s="3" t="s">
        <v>28</v>
      </c>
      <c r="B32" s="41">
        <v>5245000</v>
      </c>
      <c r="C32" s="48">
        <v>5245000</v>
      </c>
      <c r="D32" s="133">
        <f>'Attach B-Rev to Expenditures'!K32</f>
        <v>85000</v>
      </c>
      <c r="E32" s="93">
        <f>'Attach C-ExpenditureAdjustments'!K32</f>
        <v>66000</v>
      </c>
      <c r="F32" s="61">
        <f>C32+D32+E32</f>
        <v>5396000</v>
      </c>
      <c r="G32" s="63"/>
      <c r="H32" s="134"/>
      <c r="I32" s="134"/>
      <c r="J32" s="61"/>
      <c r="K32" s="63">
        <f t="shared" si="8"/>
        <v>5396000</v>
      </c>
      <c r="M32" s="11"/>
    </row>
    <row r="33" spans="1:13" ht="15" customHeight="1">
      <c r="A33" s="8" t="s">
        <v>29</v>
      </c>
      <c r="B33" s="39">
        <v>674000</v>
      </c>
      <c r="C33" s="45">
        <v>35000</v>
      </c>
      <c r="D33" s="135"/>
      <c r="E33" s="70"/>
      <c r="F33" s="43">
        <f t="shared" ref="F33:F34" si="9">C33+D33+E33</f>
        <v>35000</v>
      </c>
      <c r="G33" s="49">
        <f>'Attach D-Enroll + Tuition&amp;Fees'!J32+'Attach D-Enroll + Tuition&amp;Fees'!K32</f>
        <v>639000</v>
      </c>
      <c r="H33" s="136"/>
      <c r="I33" s="136"/>
      <c r="J33" s="43">
        <f>SUM(G33:I33)</f>
        <v>639000</v>
      </c>
      <c r="K33" s="49">
        <f t="shared" si="8"/>
        <v>674000</v>
      </c>
      <c r="M33" s="11"/>
    </row>
    <row r="34" spans="1:13" ht="15" customHeight="1">
      <c r="A34" s="3" t="s">
        <v>30</v>
      </c>
      <c r="B34" s="41">
        <v>256554000</v>
      </c>
      <c r="C34" s="48">
        <v>256554000</v>
      </c>
      <c r="D34" s="133">
        <f>'Attach B-Rev to Expenditures'!K33</f>
        <v>-129381000</v>
      </c>
      <c r="E34" s="93"/>
      <c r="F34" s="61">
        <f t="shared" si="9"/>
        <v>127173000</v>
      </c>
      <c r="G34" s="63"/>
      <c r="H34" s="134"/>
      <c r="I34" s="134"/>
      <c r="J34" s="61"/>
      <c r="K34" s="63">
        <f t="shared" si="8"/>
        <v>127173000</v>
      </c>
      <c r="M34" s="11"/>
    </row>
    <row r="35" spans="1:13" ht="15" customHeight="1">
      <c r="A35" s="8" t="s">
        <v>31</v>
      </c>
      <c r="B35" s="39">
        <v>440250000</v>
      </c>
      <c r="C35" s="45">
        <v>440250000</v>
      </c>
      <c r="D35" s="135"/>
      <c r="E35" s="70"/>
      <c r="F35" s="43">
        <f>C35+D35+E35</f>
        <v>440250000</v>
      </c>
      <c r="G35" s="49"/>
      <c r="H35" s="136"/>
      <c r="I35" s="136"/>
      <c r="J35" s="43"/>
      <c r="K35" s="49">
        <f t="shared" si="8"/>
        <v>440250000</v>
      </c>
      <c r="M35" s="11"/>
    </row>
    <row r="36" spans="1:13" s="5" customFormat="1" ht="20.100000000000001" customHeight="1" thickBot="1">
      <c r="A36" s="20" t="s">
        <v>32</v>
      </c>
      <c r="B36" s="40">
        <f>SUM(B30:B35)</f>
        <v>8108931000</v>
      </c>
      <c r="C36" s="46">
        <f t="shared" ref="C36:K36" si="10">SUM(C30:C35)</f>
        <v>4988674000</v>
      </c>
      <c r="D36" s="142">
        <f t="shared" si="10"/>
        <v>0</v>
      </c>
      <c r="E36" s="143">
        <f t="shared" si="10"/>
        <v>44935000</v>
      </c>
      <c r="F36" s="106">
        <f t="shared" si="10"/>
        <v>5033609000</v>
      </c>
      <c r="G36" s="102">
        <f t="shared" si="10"/>
        <v>3166827000</v>
      </c>
      <c r="H36" s="144">
        <f>SUM(H30:H35)</f>
        <v>22675000</v>
      </c>
      <c r="I36" s="144">
        <f t="shared" ref="I36" si="11">SUM(I30:I35)</f>
        <v>153848000</v>
      </c>
      <c r="J36" s="106">
        <f t="shared" si="10"/>
        <v>3343350000</v>
      </c>
      <c r="K36" s="102">
        <f t="shared" si="10"/>
        <v>8376959000</v>
      </c>
      <c r="L36" s="3"/>
      <c r="M36" s="11"/>
    </row>
    <row r="37" spans="1:13" ht="12" customHeight="1"/>
  </sheetData>
  <mergeCells count="2">
    <mergeCell ref="C3:F3"/>
    <mergeCell ref="G3:J3"/>
  </mergeCells>
  <printOptions horizontalCentered="1"/>
  <pageMargins left="0.6" right="0.6" top="0.5" bottom="0.5" header="0.3" footer="0.3"/>
  <pageSetup paperSize="5" scale="84" orientation="landscape" r:id="rId1"/>
  <ignoredErrors>
    <ignoredError sqref="F30 K30 J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45"/>
  <sheetViews>
    <sheetView zoomScaleNormal="100" workbookViewId="0"/>
  </sheetViews>
  <sheetFormatPr defaultColWidth="8.85546875" defaultRowHeight="15"/>
  <cols>
    <col min="1" max="1" width="28.7109375" style="3" customWidth="1"/>
    <col min="2" max="3" width="14.7109375" style="4" customWidth="1"/>
    <col min="4" max="4" width="14.7109375" style="114" customWidth="1"/>
    <col min="5" max="6" width="16.85546875" style="4" customWidth="1"/>
    <col min="7" max="7" width="14.7109375" style="4" customWidth="1"/>
    <col min="8" max="8" width="16.7109375" style="3" customWidth="1"/>
    <col min="9" max="9" width="15.7109375" style="4" customWidth="1"/>
    <col min="10" max="10" width="3.7109375" style="3" customWidth="1"/>
    <col min="11" max="11" width="15.7109375" style="114" customWidth="1"/>
    <col min="12" max="12" width="8.85546875" style="3"/>
    <col min="13" max="13" width="11" style="3" bestFit="1" customWidth="1"/>
    <col min="14" max="16384" width="8.85546875" style="3"/>
  </cols>
  <sheetData>
    <row r="1" spans="1:13" ht="18.75" customHeight="1">
      <c r="A1" s="85" t="s">
        <v>88</v>
      </c>
      <c r="M1" s="16"/>
    </row>
    <row r="2" spans="1:13" ht="18.75" customHeight="1">
      <c r="A2" s="2" t="s">
        <v>96</v>
      </c>
      <c r="G2" s="104"/>
      <c r="H2" s="6"/>
      <c r="L2" s="180"/>
      <c r="M2" s="180"/>
    </row>
    <row r="3" spans="1:13" ht="20.100000000000001" customHeight="1">
      <c r="A3" s="2"/>
      <c r="C3" s="89"/>
      <c r="G3" s="89"/>
      <c r="H3" s="89"/>
      <c r="J3" s="6"/>
      <c r="K3" s="163"/>
      <c r="L3" s="74"/>
      <c r="M3" s="74"/>
    </row>
    <row r="4" spans="1:13">
      <c r="B4" s="4">
        <v>-1</v>
      </c>
      <c r="C4" s="4">
        <f>B4-1</f>
        <v>-2</v>
      </c>
      <c r="D4" s="114">
        <f t="shared" ref="D4:E4" si="0">C4-1</f>
        <v>-3</v>
      </c>
      <c r="E4" s="4">
        <f t="shared" si="0"/>
        <v>-4</v>
      </c>
      <c r="F4" s="4">
        <f t="shared" ref="F4" si="1">E4-1</f>
        <v>-5</v>
      </c>
      <c r="G4" s="4">
        <f t="shared" ref="G4" si="2">F4-1</f>
        <v>-6</v>
      </c>
      <c r="H4" s="4">
        <f t="shared" ref="H4:I4" si="3">G4-1</f>
        <v>-7</v>
      </c>
      <c r="I4" s="34">
        <f t="shared" si="3"/>
        <v>-8</v>
      </c>
      <c r="K4" s="114">
        <f>I4-1</f>
        <v>-9</v>
      </c>
    </row>
    <row r="5" spans="1:13" ht="60" customHeight="1">
      <c r="A5" s="24"/>
      <c r="B5" s="21" t="s">
        <v>53</v>
      </c>
      <c r="C5" s="21" t="s">
        <v>119</v>
      </c>
      <c r="D5" s="22" t="s">
        <v>120</v>
      </c>
      <c r="E5" s="22" t="s">
        <v>72</v>
      </c>
      <c r="F5" s="22" t="s">
        <v>72</v>
      </c>
      <c r="G5" s="22" t="s">
        <v>121</v>
      </c>
      <c r="H5" s="22" t="s">
        <v>122</v>
      </c>
      <c r="I5" s="35" t="s">
        <v>89</v>
      </c>
      <c r="J5" s="109"/>
      <c r="K5" s="22" t="s">
        <v>48</v>
      </c>
    </row>
    <row r="6" spans="1:13" ht="24" customHeight="1">
      <c r="A6" s="25"/>
      <c r="B6" s="51"/>
      <c r="C6" s="51"/>
      <c r="D6" s="37" t="s">
        <v>91</v>
      </c>
      <c r="E6" s="107" t="s">
        <v>83</v>
      </c>
      <c r="F6" s="107" t="s">
        <v>84</v>
      </c>
      <c r="G6" s="103" t="str">
        <f>"(Attach. G, Col. "&amp;-'Attach G-Compensation-Reference'!B4&amp;")"</f>
        <v>(Attach. G, Col. 1)</v>
      </c>
      <c r="H6" s="103" t="str">
        <f>"(Attach. G, Col. "&amp;-'Attach G-Compensation-Reference'!C4&amp;")"</f>
        <v>(Attach. G, Col. 2)</v>
      </c>
      <c r="I6" s="59" t="str">
        <f>"(Sum Col. "&amp;-B4&amp;"-"&amp;-H4&amp;")"</f>
        <v>(Sum Col. 1-7)</v>
      </c>
      <c r="J6" s="110"/>
      <c r="K6" s="86"/>
    </row>
    <row r="7" spans="1:13" ht="20.100000000000001" customHeight="1">
      <c r="A7" s="8" t="s">
        <v>3</v>
      </c>
      <c r="B7" s="42">
        <v>10000</v>
      </c>
      <c r="C7" s="42">
        <v>298000</v>
      </c>
      <c r="D7" s="60"/>
      <c r="E7" s="42"/>
      <c r="F7" s="42"/>
      <c r="G7" s="60">
        <f>'Attach G-Compensation-Reference'!B7</f>
        <v>5878000</v>
      </c>
      <c r="H7" s="60">
        <f>'Attach G-Compensation-Reference'!C7</f>
        <v>-3027000</v>
      </c>
      <c r="I7" s="47">
        <f t="shared" ref="I7:I29" si="4">SUM(B7:H7)</f>
        <v>3159000</v>
      </c>
      <c r="J7" s="109"/>
      <c r="K7" s="60">
        <f>I7</f>
        <v>3159000</v>
      </c>
      <c r="L7" s="15"/>
      <c r="M7" s="5"/>
    </row>
    <row r="8" spans="1:13" ht="15" customHeight="1">
      <c r="A8" s="3" t="s">
        <v>4</v>
      </c>
      <c r="B8" s="41">
        <v>17000</v>
      </c>
      <c r="C8" s="41"/>
      <c r="D8" s="61"/>
      <c r="E8" s="73">
        <v>-1474000</v>
      </c>
      <c r="F8" s="41"/>
      <c r="G8" s="61">
        <f>'Attach G-Compensation-Reference'!B8</f>
        <v>4783000</v>
      </c>
      <c r="H8" s="61">
        <f>'Attach G-Compensation-Reference'!C8</f>
        <v>-2463000</v>
      </c>
      <c r="I8" s="48">
        <f t="shared" si="4"/>
        <v>863000</v>
      </c>
      <c r="J8" s="109"/>
      <c r="K8" s="61">
        <f t="shared" ref="K8:K29" si="5">I8</f>
        <v>863000</v>
      </c>
    </row>
    <row r="9" spans="1:13" ht="15" customHeight="1">
      <c r="A9" s="8" t="s">
        <v>5</v>
      </c>
      <c r="B9" s="39">
        <v>39000</v>
      </c>
      <c r="C9" s="39">
        <v>120000</v>
      </c>
      <c r="D9" s="43"/>
      <c r="E9" s="39">
        <v>-4127000</v>
      </c>
      <c r="F9" s="39"/>
      <c r="G9" s="43">
        <f>'Attach G-Compensation-Reference'!B9</f>
        <v>9115000</v>
      </c>
      <c r="H9" s="43">
        <f>'Attach G-Compensation-Reference'!C9</f>
        <v>-4694000</v>
      </c>
      <c r="I9" s="45">
        <f t="shared" si="4"/>
        <v>453000</v>
      </c>
      <c r="J9" s="109"/>
      <c r="K9" s="43">
        <f t="shared" si="5"/>
        <v>453000</v>
      </c>
    </row>
    <row r="10" spans="1:13" ht="15" customHeight="1">
      <c r="A10" s="3" t="s">
        <v>6</v>
      </c>
      <c r="B10" s="41">
        <v>31000</v>
      </c>
      <c r="C10" s="41">
        <v>175000</v>
      </c>
      <c r="D10" s="95">
        <v>-791000</v>
      </c>
      <c r="E10" s="41"/>
      <c r="F10" s="41"/>
      <c r="G10" s="61">
        <f>'Attach G-Compensation-Reference'!B10</f>
        <v>7979000</v>
      </c>
      <c r="H10" s="61">
        <f>'Attach G-Compensation-Reference'!C10</f>
        <v>-4109000</v>
      </c>
      <c r="I10" s="48">
        <f t="shared" si="4"/>
        <v>3285000</v>
      </c>
      <c r="J10" s="109"/>
      <c r="K10" s="61">
        <f t="shared" si="5"/>
        <v>3285000</v>
      </c>
    </row>
    <row r="11" spans="1:13" ht="15" customHeight="1">
      <c r="A11" s="8" t="s">
        <v>7</v>
      </c>
      <c r="B11" s="39">
        <v>33000</v>
      </c>
      <c r="C11" s="39"/>
      <c r="D11" s="43"/>
      <c r="E11" s="39">
        <v>-2990000</v>
      </c>
      <c r="F11" s="39"/>
      <c r="G11" s="43">
        <f>'Attach G-Compensation-Reference'!B11</f>
        <v>7921000</v>
      </c>
      <c r="H11" s="43">
        <f>'Attach G-Compensation-Reference'!C11</f>
        <v>-4079000</v>
      </c>
      <c r="I11" s="45">
        <f t="shared" si="4"/>
        <v>885000</v>
      </c>
      <c r="J11" s="109"/>
      <c r="K11" s="43">
        <f t="shared" si="5"/>
        <v>885000</v>
      </c>
    </row>
    <row r="12" spans="1:13" ht="15" customHeight="1">
      <c r="A12" s="3" t="s">
        <v>8</v>
      </c>
      <c r="B12" s="41">
        <v>31000</v>
      </c>
      <c r="C12" s="41">
        <v>388000</v>
      </c>
      <c r="D12" s="61"/>
      <c r="E12" s="41"/>
      <c r="F12" s="41"/>
      <c r="G12" s="61">
        <f>'Attach G-Compensation-Reference'!B12</f>
        <v>11924000</v>
      </c>
      <c r="H12" s="61">
        <f>'Attach G-Compensation-Reference'!C12</f>
        <v>-6140000</v>
      </c>
      <c r="I12" s="48">
        <f t="shared" si="4"/>
        <v>6203000</v>
      </c>
      <c r="J12" s="109"/>
      <c r="K12" s="61">
        <f t="shared" si="5"/>
        <v>6203000</v>
      </c>
    </row>
    <row r="13" spans="1:13" ht="15" customHeight="1">
      <c r="A13" s="8" t="s">
        <v>9</v>
      </c>
      <c r="B13" s="39">
        <v>54000</v>
      </c>
      <c r="C13" s="39">
        <v>480000</v>
      </c>
      <c r="D13" s="43"/>
      <c r="E13" s="39"/>
      <c r="F13" s="42">
        <v>6010000</v>
      </c>
      <c r="G13" s="43">
        <f>'Attach G-Compensation-Reference'!B13</f>
        <v>17124000</v>
      </c>
      <c r="H13" s="43">
        <f>'Attach G-Compensation-Reference'!C13</f>
        <v>-8818000</v>
      </c>
      <c r="I13" s="45">
        <f t="shared" si="4"/>
        <v>14850000</v>
      </c>
      <c r="J13" s="109"/>
      <c r="K13" s="43">
        <f t="shared" si="5"/>
        <v>14850000</v>
      </c>
    </row>
    <row r="14" spans="1:13" ht="15" customHeight="1">
      <c r="A14" s="3" t="s">
        <v>10</v>
      </c>
      <c r="B14" s="41">
        <v>26000</v>
      </c>
      <c r="C14" s="41">
        <v>180000</v>
      </c>
      <c r="D14" s="61"/>
      <c r="E14" s="41">
        <v>-1919000</v>
      </c>
      <c r="F14" s="41"/>
      <c r="G14" s="61">
        <f>'Attach G-Compensation-Reference'!B14</f>
        <v>5571000</v>
      </c>
      <c r="H14" s="61">
        <f>'Attach G-Compensation-Reference'!C14</f>
        <v>-2869000</v>
      </c>
      <c r="I14" s="48">
        <f t="shared" si="4"/>
        <v>989000</v>
      </c>
      <c r="J14" s="109"/>
      <c r="K14" s="61">
        <f t="shared" si="5"/>
        <v>989000</v>
      </c>
    </row>
    <row r="15" spans="1:13" ht="15" customHeight="1">
      <c r="A15" s="8" t="s">
        <v>11</v>
      </c>
      <c r="B15" s="43">
        <v>76000</v>
      </c>
      <c r="C15" s="43">
        <v>363000</v>
      </c>
      <c r="D15" s="43"/>
      <c r="E15" s="43"/>
      <c r="F15" s="43">
        <v>4028000</v>
      </c>
      <c r="G15" s="43">
        <f>'Attach G-Compensation-Reference'!B15</f>
        <v>19450000</v>
      </c>
      <c r="H15" s="43">
        <f>'Attach G-Compensation-Reference'!C15</f>
        <v>-10016000</v>
      </c>
      <c r="I15" s="49">
        <f t="shared" si="4"/>
        <v>13901000</v>
      </c>
      <c r="J15" s="109"/>
      <c r="K15" s="43">
        <f t="shared" si="5"/>
        <v>13901000</v>
      </c>
    </row>
    <row r="16" spans="1:13" ht="15" customHeight="1">
      <c r="A16" s="3" t="s">
        <v>12</v>
      </c>
      <c r="B16" s="41">
        <v>58000</v>
      </c>
      <c r="C16" s="41">
        <v>325000</v>
      </c>
      <c r="D16" s="61">
        <v>-3473000</v>
      </c>
      <c r="E16" s="41"/>
      <c r="F16" s="41">
        <v>2580000</v>
      </c>
      <c r="G16" s="61">
        <f>'Attach G-Compensation-Reference'!B16</f>
        <v>11640000</v>
      </c>
      <c r="H16" s="61">
        <f>'Attach G-Compensation-Reference'!C16</f>
        <v>-5994000</v>
      </c>
      <c r="I16" s="48">
        <f t="shared" si="4"/>
        <v>5136000</v>
      </c>
      <c r="J16" s="109"/>
      <c r="K16" s="61">
        <f t="shared" si="5"/>
        <v>5136000</v>
      </c>
    </row>
    <row r="17" spans="1:14" ht="15" customHeight="1">
      <c r="A17" s="8" t="s">
        <v>13</v>
      </c>
      <c r="B17" s="39">
        <v>10000</v>
      </c>
      <c r="C17" s="39"/>
      <c r="D17" s="43"/>
      <c r="E17" s="39">
        <v>-384000</v>
      </c>
      <c r="F17" s="39"/>
      <c r="G17" s="43">
        <f>'Attach G-Compensation-Reference'!B17</f>
        <v>1663000</v>
      </c>
      <c r="H17" s="43">
        <f>'Attach G-Compensation-Reference'!C17</f>
        <v>-856000</v>
      </c>
      <c r="I17" s="45">
        <f t="shared" si="4"/>
        <v>433000</v>
      </c>
      <c r="J17" s="109"/>
      <c r="K17" s="43">
        <f t="shared" si="5"/>
        <v>433000</v>
      </c>
    </row>
    <row r="18" spans="1:14" ht="15" customHeight="1">
      <c r="A18" s="109" t="s">
        <v>14</v>
      </c>
      <c r="B18" s="41">
        <v>21000</v>
      </c>
      <c r="C18" s="41">
        <v>175000</v>
      </c>
      <c r="D18" s="61"/>
      <c r="E18" s="41">
        <v>-1725000</v>
      </c>
      <c r="F18" s="41"/>
      <c r="G18" s="61">
        <f>'Attach G-Compensation-Reference'!B18</f>
        <v>5074000</v>
      </c>
      <c r="H18" s="61">
        <f>'Attach G-Compensation-Reference'!C18</f>
        <v>-2613000</v>
      </c>
      <c r="I18" s="48">
        <f t="shared" si="4"/>
        <v>932000</v>
      </c>
      <c r="J18" s="109"/>
      <c r="K18" s="61">
        <f t="shared" si="5"/>
        <v>932000</v>
      </c>
    </row>
    <row r="19" spans="1:14" ht="15" customHeight="1">
      <c r="A19" s="8" t="s">
        <v>15</v>
      </c>
      <c r="B19" s="39">
        <v>86000</v>
      </c>
      <c r="C19" s="39">
        <v>307000</v>
      </c>
      <c r="D19" s="43"/>
      <c r="E19" s="39"/>
      <c r="F19" s="39">
        <v>1187000</v>
      </c>
      <c r="G19" s="43">
        <f>'Attach G-Compensation-Reference'!B19</f>
        <v>16821000</v>
      </c>
      <c r="H19" s="43">
        <f>'Attach G-Compensation-Reference'!C19</f>
        <v>-8662000</v>
      </c>
      <c r="I19" s="45">
        <f t="shared" si="4"/>
        <v>9739000</v>
      </c>
      <c r="J19" s="109"/>
      <c r="K19" s="43">
        <f t="shared" si="5"/>
        <v>9739000</v>
      </c>
    </row>
    <row r="20" spans="1:14" ht="15" customHeight="1">
      <c r="A20" s="3" t="s">
        <v>16</v>
      </c>
      <c r="B20" s="41">
        <v>58000</v>
      </c>
      <c r="C20" s="41">
        <v>229000</v>
      </c>
      <c r="D20" s="61">
        <v>-3701000</v>
      </c>
      <c r="E20" s="41"/>
      <c r="F20" s="41">
        <v>2741000</v>
      </c>
      <c r="G20" s="61">
        <f>'Attach G-Compensation-Reference'!B20</f>
        <v>12990000</v>
      </c>
      <c r="H20" s="61">
        <f>'Attach G-Compensation-Reference'!C20</f>
        <v>-6689000</v>
      </c>
      <c r="I20" s="48">
        <f t="shared" si="4"/>
        <v>5628000</v>
      </c>
      <c r="J20" s="109"/>
      <c r="K20" s="61">
        <f t="shared" si="5"/>
        <v>5628000</v>
      </c>
    </row>
    <row r="21" spans="1:14" ht="15" customHeight="1">
      <c r="A21" s="8" t="s">
        <v>17</v>
      </c>
      <c r="B21" s="39">
        <v>46000</v>
      </c>
      <c r="C21" s="39">
        <v>425000</v>
      </c>
      <c r="D21" s="43">
        <v>-3510000</v>
      </c>
      <c r="E21" s="39"/>
      <c r="F21" s="39"/>
      <c r="G21" s="43">
        <f>'Attach G-Compensation-Reference'!B21</f>
        <v>14324000</v>
      </c>
      <c r="H21" s="43">
        <f>'Attach G-Compensation-Reference'!C21</f>
        <v>-7376000</v>
      </c>
      <c r="I21" s="45">
        <f t="shared" si="4"/>
        <v>3909000</v>
      </c>
      <c r="J21" s="109"/>
      <c r="K21" s="43">
        <f t="shared" si="5"/>
        <v>3909000</v>
      </c>
    </row>
    <row r="22" spans="1:14" ht="15" customHeight="1">
      <c r="A22" s="3" t="s">
        <v>18</v>
      </c>
      <c r="B22" s="41">
        <v>34000</v>
      </c>
      <c r="C22" s="41">
        <v>257000</v>
      </c>
      <c r="D22" s="61"/>
      <c r="E22" s="41"/>
      <c r="F22" s="41"/>
      <c r="G22" s="61">
        <f>'Attach G-Compensation-Reference'!B22</f>
        <v>9489000</v>
      </c>
      <c r="H22" s="61">
        <f>'Attach G-Compensation-Reference'!C22</f>
        <v>-4886000</v>
      </c>
      <c r="I22" s="48">
        <f t="shared" si="4"/>
        <v>4894000</v>
      </c>
      <c r="J22" s="109"/>
      <c r="K22" s="61">
        <f t="shared" si="5"/>
        <v>4894000</v>
      </c>
    </row>
    <row r="23" spans="1:14" ht="15" customHeight="1">
      <c r="A23" s="8" t="s">
        <v>19</v>
      </c>
      <c r="B23" s="39">
        <v>111000</v>
      </c>
      <c r="C23" s="39">
        <v>340000</v>
      </c>
      <c r="D23" s="43"/>
      <c r="E23" s="39"/>
      <c r="F23" s="39">
        <v>4362000</v>
      </c>
      <c r="G23" s="43">
        <f>'Attach G-Compensation-Reference'!B23</f>
        <v>20834000</v>
      </c>
      <c r="H23" s="43">
        <f>'Attach G-Compensation-Reference'!C23</f>
        <v>-10728000</v>
      </c>
      <c r="I23" s="45">
        <f t="shared" si="4"/>
        <v>14919000</v>
      </c>
      <c r="J23" s="109"/>
      <c r="K23" s="43">
        <f t="shared" si="5"/>
        <v>14919000</v>
      </c>
    </row>
    <row r="24" spans="1:14" ht="15" customHeight="1">
      <c r="A24" s="3" t="s">
        <v>20</v>
      </c>
      <c r="B24" s="41">
        <v>62000</v>
      </c>
      <c r="C24" s="41">
        <v>344000</v>
      </c>
      <c r="D24" s="61"/>
      <c r="E24" s="41">
        <v>-6011000</v>
      </c>
      <c r="F24" s="41"/>
      <c r="G24" s="61">
        <f>'Attach G-Compensation-Reference'!B24</f>
        <v>14900000</v>
      </c>
      <c r="H24" s="61">
        <f>'Attach G-Compensation-Reference'!C24</f>
        <v>-7672000</v>
      </c>
      <c r="I24" s="48">
        <f t="shared" si="4"/>
        <v>1623000</v>
      </c>
      <c r="J24" s="109"/>
      <c r="K24" s="61">
        <f t="shared" si="5"/>
        <v>1623000</v>
      </c>
    </row>
    <row r="25" spans="1:14" ht="15" customHeight="1">
      <c r="A25" s="8" t="s">
        <v>21</v>
      </c>
      <c r="B25" s="39">
        <v>46000</v>
      </c>
      <c r="C25" s="39">
        <v>175000</v>
      </c>
      <c r="D25" s="43"/>
      <c r="E25" s="39"/>
      <c r="F25" s="39">
        <v>1208000</v>
      </c>
      <c r="G25" s="43">
        <f>'Attach G-Compensation-Reference'!B25</f>
        <v>17534000</v>
      </c>
      <c r="H25" s="43">
        <f>'Attach G-Compensation-Reference'!C25</f>
        <v>-9029000</v>
      </c>
      <c r="I25" s="45">
        <f t="shared" si="4"/>
        <v>9934000</v>
      </c>
      <c r="J25" s="109"/>
      <c r="K25" s="43">
        <f t="shared" si="5"/>
        <v>9934000</v>
      </c>
    </row>
    <row r="26" spans="1:14" ht="15" customHeight="1">
      <c r="A26" s="3" t="s">
        <v>22</v>
      </c>
      <c r="B26" s="41">
        <v>82000</v>
      </c>
      <c r="C26" s="41"/>
      <c r="D26" s="61"/>
      <c r="E26" s="41"/>
      <c r="F26" s="41">
        <v>4693000</v>
      </c>
      <c r="G26" s="61">
        <f>'Attach G-Compensation-Reference'!B26</f>
        <v>15277000</v>
      </c>
      <c r="H26" s="61">
        <f>'Attach G-Compensation-Reference'!C26</f>
        <v>-7867000</v>
      </c>
      <c r="I26" s="48">
        <f t="shared" si="4"/>
        <v>12185000</v>
      </c>
      <c r="J26" s="109"/>
      <c r="K26" s="61">
        <f t="shared" si="5"/>
        <v>12185000</v>
      </c>
    </row>
    <row r="27" spans="1:14" ht="15" customHeight="1">
      <c r="A27" s="8" t="s">
        <v>23</v>
      </c>
      <c r="B27" s="39">
        <v>32000</v>
      </c>
      <c r="C27" s="39">
        <v>164000</v>
      </c>
      <c r="D27" s="43"/>
      <c r="E27" s="39"/>
      <c r="F27" s="39">
        <v>5490000</v>
      </c>
      <c r="G27" s="43">
        <f>'Attach G-Compensation-Reference'!B27</f>
        <v>7771000</v>
      </c>
      <c r="H27" s="43">
        <f>'Attach G-Compensation-Reference'!C27</f>
        <v>-4002000</v>
      </c>
      <c r="I27" s="45">
        <f t="shared" si="4"/>
        <v>9455000</v>
      </c>
      <c r="J27" s="109"/>
      <c r="K27" s="43">
        <f t="shared" si="5"/>
        <v>9455000</v>
      </c>
    </row>
    <row r="28" spans="1:14" ht="15" customHeight="1">
      <c r="A28" s="3" t="s">
        <v>24</v>
      </c>
      <c r="B28" s="41">
        <v>23000</v>
      </c>
      <c r="C28" s="41"/>
      <c r="D28" s="61"/>
      <c r="E28" s="41">
        <v>-2199000</v>
      </c>
      <c r="F28" s="41"/>
      <c r="G28" s="61">
        <f>'Attach G-Compensation-Reference'!B28</f>
        <v>5261000</v>
      </c>
      <c r="H28" s="61">
        <f>'Attach G-Compensation-Reference'!C28</f>
        <v>-2709000</v>
      </c>
      <c r="I28" s="48">
        <f t="shared" si="4"/>
        <v>376000</v>
      </c>
      <c r="J28" s="109"/>
      <c r="K28" s="61">
        <f t="shared" si="5"/>
        <v>376000</v>
      </c>
    </row>
    <row r="29" spans="1:14" ht="15" customHeight="1">
      <c r="A29" s="8" t="s">
        <v>25</v>
      </c>
      <c r="B29" s="39">
        <v>14000</v>
      </c>
      <c r="C29" s="39">
        <v>175000</v>
      </c>
      <c r="D29" s="43"/>
      <c r="E29" s="39"/>
      <c r="F29" s="39"/>
      <c r="G29" s="43">
        <f>'Attach G-Compensation-Reference'!B29</f>
        <v>6011000</v>
      </c>
      <c r="H29" s="43">
        <f>'Attach G-Compensation-Reference'!C29</f>
        <v>-3095000</v>
      </c>
      <c r="I29" s="45">
        <f t="shared" si="4"/>
        <v>3105000</v>
      </c>
      <c r="J29" s="109"/>
      <c r="K29" s="43">
        <f t="shared" si="5"/>
        <v>3105000</v>
      </c>
    </row>
    <row r="30" spans="1:14" ht="20.100000000000001" customHeight="1">
      <c r="A30" s="1" t="s">
        <v>26</v>
      </c>
      <c r="B30" s="44">
        <f t="shared" ref="B30:I30" si="6">SUM(B7:B29)</f>
        <v>1000000</v>
      </c>
      <c r="C30" s="44">
        <f t="shared" si="6"/>
        <v>4920000</v>
      </c>
      <c r="D30" s="105">
        <f t="shared" si="6"/>
        <v>-11475000</v>
      </c>
      <c r="E30" s="44">
        <f t="shared" si="6"/>
        <v>-20829000</v>
      </c>
      <c r="F30" s="44">
        <f t="shared" si="6"/>
        <v>32299000</v>
      </c>
      <c r="G30" s="105">
        <f t="shared" si="6"/>
        <v>249334000</v>
      </c>
      <c r="H30" s="105">
        <f>SUM(H7:H29)</f>
        <v>-128393000</v>
      </c>
      <c r="I30" s="50">
        <f t="shared" si="6"/>
        <v>126856000</v>
      </c>
      <c r="J30" s="109"/>
      <c r="K30" s="105">
        <f>SUM(K7:K29)</f>
        <v>126856000</v>
      </c>
    </row>
    <row r="31" spans="1:14" ht="20.45" customHeight="1">
      <c r="A31" s="8" t="s">
        <v>90</v>
      </c>
      <c r="B31" s="39"/>
      <c r="C31" s="39"/>
      <c r="D31" s="43"/>
      <c r="E31" s="39"/>
      <c r="F31" s="39"/>
      <c r="G31" s="43">
        <f>'Attach G-Compensation-Reference'!B31</f>
        <v>5031000</v>
      </c>
      <c r="H31" s="43">
        <f>'Attach G-Compensation-Reference'!C31</f>
        <v>-2591000</v>
      </c>
      <c r="I31" s="45">
        <f>SUM(B31:H31)</f>
        <v>2440000</v>
      </c>
      <c r="J31" s="109"/>
      <c r="K31" s="43">
        <f t="shared" ref="K31:K33" si="7">I31</f>
        <v>2440000</v>
      </c>
    </row>
    <row r="32" spans="1:14" s="29" customFormat="1">
      <c r="A32" s="109" t="s">
        <v>28</v>
      </c>
      <c r="B32" s="41"/>
      <c r="C32" s="41"/>
      <c r="D32" s="61"/>
      <c r="E32" s="41"/>
      <c r="F32" s="157"/>
      <c r="G32" s="61">
        <f>'Attach G-Compensation-Reference'!B32</f>
        <v>175000</v>
      </c>
      <c r="H32" s="61">
        <f>'Attach G-Compensation-Reference'!C32</f>
        <v>-90000</v>
      </c>
      <c r="I32" s="48">
        <f>SUM(B32:H32)</f>
        <v>85000</v>
      </c>
      <c r="J32" s="109"/>
      <c r="K32" s="61">
        <f t="shared" si="7"/>
        <v>85000</v>
      </c>
      <c r="N32" s="3"/>
    </row>
    <row r="33" spans="1:12">
      <c r="A33" s="8" t="s">
        <v>30</v>
      </c>
      <c r="B33" s="39">
        <v>-1000000</v>
      </c>
      <c r="C33" s="39">
        <v>-4920000</v>
      </c>
      <c r="D33" s="43">
        <f>-D30</f>
        <v>11475000</v>
      </c>
      <c r="E33" s="43">
        <f>-E30</f>
        <v>20829000</v>
      </c>
      <c r="F33" s="43">
        <f>-F30</f>
        <v>-32299000</v>
      </c>
      <c r="G33" s="173">
        <v>-123466000</v>
      </c>
      <c r="H33" s="43"/>
      <c r="I33" s="45">
        <f>SUM(B33:H33)</f>
        <v>-129381000</v>
      </c>
      <c r="J33" s="109"/>
      <c r="K33" s="43">
        <f t="shared" si="7"/>
        <v>-129381000</v>
      </c>
    </row>
    <row r="34" spans="1:12" ht="20.100000000000001" customHeight="1" thickBot="1">
      <c r="A34" s="20" t="s">
        <v>32</v>
      </c>
      <c r="B34" s="40">
        <f t="shared" ref="B34:I34" si="8">SUM(B30:B33)</f>
        <v>0</v>
      </c>
      <c r="C34" s="40">
        <f t="shared" si="8"/>
        <v>0</v>
      </c>
      <c r="D34" s="106">
        <f t="shared" si="8"/>
        <v>0</v>
      </c>
      <c r="E34" s="40">
        <f t="shared" si="8"/>
        <v>0</v>
      </c>
      <c r="F34" s="40">
        <f t="shared" si="8"/>
        <v>0</v>
      </c>
      <c r="G34" s="106">
        <f t="shared" si="8"/>
        <v>131074000</v>
      </c>
      <c r="H34" s="106">
        <f>SUM(H30:H33)</f>
        <v>-131074000</v>
      </c>
      <c r="I34" s="46">
        <f t="shared" si="8"/>
        <v>0</v>
      </c>
      <c r="J34" s="109"/>
      <c r="K34" s="106">
        <f>SUM(K30:K33)</f>
        <v>0</v>
      </c>
    </row>
    <row r="35" spans="1:12" ht="15" customHeight="1">
      <c r="B35" s="3"/>
      <c r="C35" s="3"/>
      <c r="D35" s="3"/>
      <c r="E35" s="3"/>
      <c r="F35" s="3"/>
      <c r="G35" s="3"/>
      <c r="J35" s="4"/>
      <c r="K35" s="4"/>
      <c r="L35" s="4"/>
    </row>
    <row r="36" spans="1:12">
      <c r="A36" s="84"/>
      <c r="B36" s="84"/>
      <c r="C36" s="84"/>
      <c r="D36" s="84"/>
      <c r="E36" s="84"/>
      <c r="F36" s="84"/>
      <c r="G36" s="84"/>
      <c r="H36" s="84"/>
      <c r="J36" s="4"/>
      <c r="K36" s="4"/>
      <c r="L36" s="4"/>
    </row>
    <row r="37" spans="1:12">
      <c r="B37" s="3"/>
      <c r="C37" s="3"/>
      <c r="D37" s="3"/>
      <c r="E37" s="3"/>
      <c r="F37" s="3"/>
      <c r="G37" s="3"/>
      <c r="J37" s="4"/>
      <c r="K37" s="4"/>
      <c r="L37" s="4"/>
    </row>
    <row r="38" spans="1:12">
      <c r="B38" s="3"/>
      <c r="C38" s="3"/>
      <c r="D38" s="3"/>
      <c r="E38" s="3"/>
      <c r="F38" s="3"/>
      <c r="G38" s="3"/>
    </row>
    <row r="39" spans="1:12">
      <c r="F39" s="154"/>
      <c r="G39" s="88"/>
      <c r="H39" s="89"/>
    </row>
    <row r="45" spans="1:12">
      <c r="G45" s="162"/>
    </row>
  </sheetData>
  <mergeCells count="1">
    <mergeCell ref="L2:M2"/>
  </mergeCells>
  <printOptions horizontalCentered="1"/>
  <pageMargins left="0.6" right="0.6" top="0.5" bottom="0.5" header="0.3" footer="0.3"/>
  <pageSetup paperSize="5" scale="83" orientation="landscape" r:id="rId1"/>
  <ignoredErrors>
    <ignoredError sqref="I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37"/>
  <sheetViews>
    <sheetView zoomScaleNormal="100" workbookViewId="0">
      <selection activeCell="K5" sqref="K5"/>
    </sheetView>
  </sheetViews>
  <sheetFormatPr defaultColWidth="8.85546875" defaultRowHeight="15"/>
  <cols>
    <col min="1" max="1" width="28.7109375" style="3" customWidth="1"/>
    <col min="2" max="4" width="14.7109375" style="3" customWidth="1"/>
    <col min="5" max="5" width="14.7109375" style="4" customWidth="1"/>
    <col min="6" max="6" width="14.7109375" style="109" customWidth="1"/>
    <col min="7" max="7" width="15.7109375" style="3" customWidth="1"/>
    <col min="8" max="8" width="3.7109375" style="3" customWidth="1"/>
    <col min="9" max="10" width="15.7109375" style="3" customWidth="1"/>
    <col min="11" max="11" width="15.7109375" style="114" customWidth="1"/>
    <col min="12" max="12" width="15.7109375" style="3" customWidth="1"/>
    <col min="13" max="13" width="9.42578125" style="3" bestFit="1" customWidth="1"/>
    <col min="14" max="16384" width="8.85546875" style="3"/>
  </cols>
  <sheetData>
    <row r="1" spans="1:13" ht="18.75" customHeight="1">
      <c r="A1" s="65" t="s">
        <v>97</v>
      </c>
      <c r="D1" s="6"/>
    </row>
    <row r="2" spans="1:13" ht="18.75" customHeight="1">
      <c r="A2" s="2" t="s">
        <v>96</v>
      </c>
      <c r="D2" s="6"/>
      <c r="I2" s="6"/>
      <c r="J2" s="6"/>
    </row>
    <row r="3" spans="1:13" s="6" customFormat="1" ht="20.100000000000001" customHeight="1">
      <c r="B3" s="181" t="s">
        <v>34</v>
      </c>
      <c r="C3" s="181"/>
      <c r="D3" s="181"/>
      <c r="E3" s="4"/>
      <c r="F3" s="146"/>
      <c r="I3" s="182" t="s">
        <v>35</v>
      </c>
      <c r="J3" s="182"/>
      <c r="K3" s="182"/>
      <c r="L3" s="182"/>
    </row>
    <row r="4" spans="1:13">
      <c r="A4" s="6"/>
      <c r="B4" s="4">
        <v>-1</v>
      </c>
      <c r="C4" s="4">
        <f>B4-1</f>
        <v>-2</v>
      </c>
      <c r="D4" s="4">
        <f t="shared" ref="D4:G4" si="0">C4-1</f>
        <v>-3</v>
      </c>
      <c r="E4" s="4">
        <f>D4-1</f>
        <v>-4</v>
      </c>
      <c r="F4" s="114">
        <f t="shared" si="0"/>
        <v>-5</v>
      </c>
      <c r="G4" s="34">
        <f t="shared" si="0"/>
        <v>-6</v>
      </c>
      <c r="I4" s="4">
        <f>G4-1</f>
        <v>-7</v>
      </c>
      <c r="J4" s="4">
        <f t="shared" ref="J4:L4" si="1">I4-1</f>
        <v>-8</v>
      </c>
      <c r="K4" s="114">
        <f t="shared" si="1"/>
        <v>-9</v>
      </c>
      <c r="L4" s="34">
        <f t="shared" si="1"/>
        <v>-10</v>
      </c>
    </row>
    <row r="5" spans="1:13" ht="60" customHeight="1">
      <c r="A5" s="9"/>
      <c r="B5" s="22" t="s">
        <v>36</v>
      </c>
      <c r="C5" s="22" t="s">
        <v>123</v>
      </c>
      <c r="D5" s="21" t="s">
        <v>44</v>
      </c>
      <c r="E5" s="22" t="s">
        <v>124</v>
      </c>
      <c r="F5" s="22" t="s">
        <v>125</v>
      </c>
      <c r="G5" s="38" t="s">
        <v>126</v>
      </c>
      <c r="H5" s="109"/>
      <c r="I5" s="21" t="s">
        <v>127</v>
      </c>
      <c r="J5" s="22" t="s">
        <v>128</v>
      </c>
      <c r="K5" s="22" t="s">
        <v>129</v>
      </c>
      <c r="L5" s="38" t="s">
        <v>130</v>
      </c>
      <c r="M5" s="104"/>
    </row>
    <row r="6" spans="1:13" s="52" customFormat="1" ht="24" customHeight="1">
      <c r="A6" s="51"/>
      <c r="B6" s="37"/>
      <c r="C6" s="86"/>
      <c r="D6" s="51"/>
      <c r="E6" s="107" t="s">
        <v>82</v>
      </c>
      <c r="F6" s="86" t="s">
        <v>105</v>
      </c>
      <c r="G6" s="96" t="str">
        <f>"(Sum Col. "&amp;-B4&amp;"-"&amp;-F4&amp;")"</f>
        <v>(Sum Col. 1-5)</v>
      </c>
      <c r="H6" s="110"/>
      <c r="I6" s="103" t="str">
        <f>"(Attach. D, Col. "&amp;-'Attach D-Enroll + Tuition&amp;Fees'!L4&amp;")"</f>
        <v>(Attach. D, Col. 11)</v>
      </c>
      <c r="J6" s="103" t="str">
        <f>"(Attach. D, Col. "&amp;-'Attach D-Enroll + Tuition&amp;Fees'!M4&amp;")"</f>
        <v>(Attach. D, Col. 12)</v>
      </c>
      <c r="K6" s="86" t="str">
        <f>"(Col. "&amp;-G4&amp;" -
Sum Col. "&amp;-I4&amp;"-"&amp;-J4&amp;")"</f>
        <v>(Col. 6 -
Sum Col. 7-8)</v>
      </c>
      <c r="L6" s="96" t="str">
        <f>"(Sum Col. "&amp;-I4&amp;"-"&amp;-K4&amp;")"</f>
        <v>(Sum Col. 7-9)</v>
      </c>
    </row>
    <row r="7" spans="1:13" ht="20.100000000000001" customHeight="1">
      <c r="A7" s="8" t="s">
        <v>3</v>
      </c>
      <c r="B7" s="60">
        <v>1871000</v>
      </c>
      <c r="C7" s="60">
        <v>1488000</v>
      </c>
      <c r="D7" s="60">
        <v>418000</v>
      </c>
      <c r="E7" s="60"/>
      <c r="F7" s="60">
        <f>'Attach E-SUG'!D7</f>
        <v>2068000</v>
      </c>
      <c r="G7" s="62">
        <f t="shared" ref="G7:G29" si="2">SUM(B7:F7)</f>
        <v>5845000</v>
      </c>
      <c r="H7" s="109"/>
      <c r="I7" s="60"/>
      <c r="J7" s="60">
        <f>'Attach D-Enroll + Tuition&amp;Fees'!M7</f>
        <v>3179000</v>
      </c>
      <c r="K7" s="60">
        <f>G7-J7-I7</f>
        <v>2666000</v>
      </c>
      <c r="L7" s="62">
        <f t="shared" ref="L7:L29" si="3">SUM(I7:K7)</f>
        <v>5845000</v>
      </c>
    </row>
    <row r="8" spans="1:13" ht="15" customHeight="1">
      <c r="A8" s="3" t="s">
        <v>4</v>
      </c>
      <c r="B8" s="61">
        <v>1477000</v>
      </c>
      <c r="C8" s="95"/>
      <c r="D8" s="61">
        <v>466000</v>
      </c>
      <c r="E8" s="61"/>
      <c r="F8" s="61">
        <f>'Attach E-SUG'!D8</f>
        <v>636000</v>
      </c>
      <c r="G8" s="63">
        <f t="shared" si="2"/>
        <v>2579000</v>
      </c>
      <c r="H8" s="109"/>
      <c r="I8" s="61"/>
      <c r="J8" s="61">
        <f>'Attach D-Enroll + Tuition&amp;Fees'!M8</f>
        <v>1789000</v>
      </c>
      <c r="K8" s="61">
        <f t="shared" ref="K8:K29" si="4">G8-J8-I8</f>
        <v>790000</v>
      </c>
      <c r="L8" s="63">
        <f t="shared" si="3"/>
        <v>2579000</v>
      </c>
    </row>
    <row r="9" spans="1:13" ht="15" customHeight="1">
      <c r="A9" s="8" t="s">
        <v>5</v>
      </c>
      <c r="B9" s="43">
        <v>3133000</v>
      </c>
      <c r="C9" s="43">
        <v>2989000</v>
      </c>
      <c r="D9" s="43">
        <v>781000</v>
      </c>
      <c r="E9" s="43"/>
      <c r="F9" s="43"/>
      <c r="G9" s="49">
        <f t="shared" si="2"/>
        <v>6903000</v>
      </c>
      <c r="H9" s="109"/>
      <c r="I9" s="43"/>
      <c r="J9" s="43">
        <f>'Attach D-Enroll + Tuition&amp;Fees'!M9</f>
        <v>4484000</v>
      </c>
      <c r="K9" s="43">
        <f t="shared" si="4"/>
        <v>2419000</v>
      </c>
      <c r="L9" s="49">
        <f t="shared" si="3"/>
        <v>6903000</v>
      </c>
    </row>
    <row r="10" spans="1:13" ht="15" customHeight="1">
      <c r="A10" s="3" t="s">
        <v>6</v>
      </c>
      <c r="B10" s="61">
        <v>2333000</v>
      </c>
      <c r="C10" s="61">
        <v>34000</v>
      </c>
      <c r="D10" s="61">
        <v>880000</v>
      </c>
      <c r="E10" s="95"/>
      <c r="F10" s="61">
        <f>'Attach E-SUG'!D10</f>
        <v>296000</v>
      </c>
      <c r="G10" s="63">
        <f t="shared" si="2"/>
        <v>3543000</v>
      </c>
      <c r="H10" s="109"/>
      <c r="I10" s="95"/>
      <c r="J10" s="61">
        <f>'Attach D-Enroll + Tuition&amp;Fees'!M10</f>
        <v>4642000</v>
      </c>
      <c r="K10" s="61">
        <f t="shared" si="4"/>
        <v>-1099000</v>
      </c>
      <c r="L10" s="63">
        <f t="shared" si="3"/>
        <v>3543000</v>
      </c>
    </row>
    <row r="11" spans="1:13" ht="15" customHeight="1">
      <c r="A11" s="8" t="s">
        <v>7</v>
      </c>
      <c r="B11" s="43">
        <v>2570000</v>
      </c>
      <c r="C11" s="43">
        <v>527000</v>
      </c>
      <c r="D11" s="43">
        <v>813000</v>
      </c>
      <c r="E11" s="43"/>
      <c r="F11" s="43">
        <f>'Attach E-SUG'!D11</f>
        <v>1439000</v>
      </c>
      <c r="G11" s="49">
        <f t="shared" si="2"/>
        <v>5349000</v>
      </c>
      <c r="H11" s="109"/>
      <c r="I11" s="43"/>
      <c r="J11" s="43">
        <f>'Attach D-Enroll + Tuition&amp;Fees'!M11</f>
        <v>4144000</v>
      </c>
      <c r="K11" s="43">
        <f t="shared" si="4"/>
        <v>1205000</v>
      </c>
      <c r="L11" s="49">
        <f t="shared" si="3"/>
        <v>5349000</v>
      </c>
    </row>
    <row r="12" spans="1:13" ht="15" customHeight="1">
      <c r="A12" s="3" t="s">
        <v>8</v>
      </c>
      <c r="B12" s="61">
        <v>3990000</v>
      </c>
      <c r="C12" s="61">
        <v>146000</v>
      </c>
      <c r="D12" s="61">
        <v>1157000</v>
      </c>
      <c r="E12" s="61"/>
      <c r="F12" s="61">
        <f>'Attach E-SUG'!D12</f>
        <v>4686000</v>
      </c>
      <c r="G12" s="63">
        <f t="shared" si="2"/>
        <v>9979000</v>
      </c>
      <c r="H12" s="109"/>
      <c r="I12" s="61"/>
      <c r="J12" s="61">
        <f>'Attach D-Enroll + Tuition&amp;Fees'!M12</f>
        <v>7861000</v>
      </c>
      <c r="K12" s="61">
        <f t="shared" si="4"/>
        <v>2118000</v>
      </c>
      <c r="L12" s="63">
        <f t="shared" si="3"/>
        <v>9979000</v>
      </c>
    </row>
    <row r="13" spans="1:13" ht="15" customHeight="1">
      <c r="A13" s="8" t="s">
        <v>9</v>
      </c>
      <c r="B13" s="43">
        <v>5441000</v>
      </c>
      <c r="C13" s="43"/>
      <c r="D13" s="43">
        <v>1546000</v>
      </c>
      <c r="E13" s="60">
        <v>13266000</v>
      </c>
      <c r="F13" s="43">
        <f>'Attach E-SUG'!D13</f>
        <v>6411000</v>
      </c>
      <c r="G13" s="49">
        <f t="shared" si="2"/>
        <v>26664000</v>
      </c>
      <c r="H13" s="109"/>
      <c r="I13" s="60">
        <f>'Attach D-Enroll + Tuition&amp;Fees'!L13</f>
        <v>5611000</v>
      </c>
      <c r="J13" s="43">
        <f>'Attach D-Enroll + Tuition&amp;Fees'!M13</f>
        <v>13937000</v>
      </c>
      <c r="K13" s="43">
        <f t="shared" si="4"/>
        <v>7116000</v>
      </c>
      <c r="L13" s="49">
        <f t="shared" si="3"/>
        <v>26664000</v>
      </c>
      <c r="M13" s="166"/>
    </row>
    <row r="14" spans="1:13" ht="15" customHeight="1">
      <c r="A14" s="3" t="s">
        <v>10</v>
      </c>
      <c r="B14" s="61">
        <v>1818000</v>
      </c>
      <c r="C14" s="61"/>
      <c r="D14" s="61">
        <v>500000</v>
      </c>
      <c r="E14" s="61"/>
      <c r="F14" s="61">
        <f>'Attach E-SUG'!D14</f>
        <v>1109000</v>
      </c>
      <c r="G14" s="63">
        <f t="shared" si="2"/>
        <v>3427000</v>
      </c>
      <c r="H14" s="109"/>
      <c r="I14" s="61"/>
      <c r="J14" s="61">
        <f>'Attach D-Enroll + Tuition&amp;Fees'!M14</f>
        <v>2084000</v>
      </c>
      <c r="K14" s="61">
        <f t="shared" si="4"/>
        <v>1343000</v>
      </c>
      <c r="L14" s="63">
        <f t="shared" si="3"/>
        <v>3427000</v>
      </c>
    </row>
    <row r="15" spans="1:13" ht="15" customHeight="1">
      <c r="A15" s="8" t="s">
        <v>11</v>
      </c>
      <c r="B15" s="43">
        <v>5594000</v>
      </c>
      <c r="C15" s="43">
        <v>393000</v>
      </c>
      <c r="D15" s="43">
        <v>1707000</v>
      </c>
      <c r="E15" s="43">
        <v>9070000</v>
      </c>
      <c r="F15" s="43">
        <f>'Attach E-SUG'!D15</f>
        <v>5085000</v>
      </c>
      <c r="G15" s="49">
        <f t="shared" si="2"/>
        <v>21849000</v>
      </c>
      <c r="H15" s="109"/>
      <c r="I15" s="43">
        <f>'Attach D-Enroll + Tuition&amp;Fees'!L15</f>
        <v>3849000</v>
      </c>
      <c r="J15" s="43">
        <f>'Attach D-Enroll + Tuition&amp;Fees'!M15</f>
        <v>13305000</v>
      </c>
      <c r="K15" s="43">
        <f t="shared" si="4"/>
        <v>4695000</v>
      </c>
      <c r="L15" s="49">
        <f t="shared" si="3"/>
        <v>21849000</v>
      </c>
      <c r="M15" s="166"/>
    </row>
    <row r="16" spans="1:13" ht="15" customHeight="1">
      <c r="A16" s="3" t="s">
        <v>12</v>
      </c>
      <c r="B16" s="61">
        <v>3585000</v>
      </c>
      <c r="C16" s="61"/>
      <c r="D16" s="61">
        <v>1296000</v>
      </c>
      <c r="E16" s="61">
        <v>1972000</v>
      </c>
      <c r="F16" s="61">
        <f>'Attach E-SUG'!D16</f>
        <v>5039000</v>
      </c>
      <c r="G16" s="63">
        <f t="shared" si="2"/>
        <v>11892000</v>
      </c>
      <c r="H16" s="109"/>
      <c r="I16" s="61">
        <f>'Attach D-Enroll + Tuition&amp;Fees'!L16</f>
        <v>852000</v>
      </c>
      <c r="J16" s="61">
        <f>'Attach D-Enroll + Tuition&amp;Fees'!M16</f>
        <v>8539000</v>
      </c>
      <c r="K16" s="61">
        <f t="shared" si="4"/>
        <v>2501000</v>
      </c>
      <c r="L16" s="63">
        <f t="shared" si="3"/>
        <v>11892000</v>
      </c>
      <c r="M16" s="166"/>
    </row>
    <row r="17" spans="1:13" ht="15" customHeight="1">
      <c r="A17" s="8" t="s">
        <v>13</v>
      </c>
      <c r="B17" s="43">
        <v>493000</v>
      </c>
      <c r="C17" s="43"/>
      <c r="D17" s="43">
        <v>322000</v>
      </c>
      <c r="E17" s="43"/>
      <c r="F17" s="43"/>
      <c r="G17" s="49">
        <f t="shared" si="2"/>
        <v>815000</v>
      </c>
      <c r="H17" s="109"/>
      <c r="I17" s="43"/>
      <c r="J17" s="43">
        <f>'Attach D-Enroll + Tuition&amp;Fees'!M17</f>
        <v>317000</v>
      </c>
      <c r="K17" s="43">
        <f t="shared" si="4"/>
        <v>498000</v>
      </c>
      <c r="L17" s="49">
        <f t="shared" si="3"/>
        <v>815000</v>
      </c>
    </row>
    <row r="18" spans="1:13" ht="15" customHeight="1">
      <c r="A18" s="3" t="s">
        <v>14</v>
      </c>
      <c r="B18" s="61">
        <v>1546000</v>
      </c>
      <c r="C18" s="61">
        <v>149000</v>
      </c>
      <c r="D18" s="61">
        <v>502000</v>
      </c>
      <c r="E18" s="61"/>
      <c r="F18" s="61">
        <f>'Attach E-SUG'!D18</f>
        <v>1039000</v>
      </c>
      <c r="G18" s="63">
        <f t="shared" si="2"/>
        <v>3236000</v>
      </c>
      <c r="H18" s="109"/>
      <c r="I18" s="61"/>
      <c r="J18" s="61">
        <f>'Attach D-Enroll + Tuition&amp;Fees'!M18</f>
        <v>2174000</v>
      </c>
      <c r="K18" s="61">
        <f t="shared" si="4"/>
        <v>1062000</v>
      </c>
      <c r="L18" s="63">
        <f t="shared" si="3"/>
        <v>3236000</v>
      </c>
    </row>
    <row r="19" spans="1:13" ht="15" customHeight="1">
      <c r="A19" s="8" t="s">
        <v>15</v>
      </c>
      <c r="B19" s="43">
        <v>5268000</v>
      </c>
      <c r="C19" s="43">
        <v>809000</v>
      </c>
      <c r="D19" s="43">
        <v>1630000</v>
      </c>
      <c r="E19" s="43">
        <v>4732000</v>
      </c>
      <c r="F19" s="43">
        <f>'Attach E-SUG'!D19</f>
        <v>7864000</v>
      </c>
      <c r="G19" s="49">
        <f t="shared" si="2"/>
        <v>20303000</v>
      </c>
      <c r="H19" s="109"/>
      <c r="I19" s="43">
        <f>'Attach D-Enroll + Tuition&amp;Fees'!L19</f>
        <v>2051000</v>
      </c>
      <c r="J19" s="43">
        <f>'Attach D-Enroll + Tuition&amp;Fees'!M19</f>
        <v>12621000</v>
      </c>
      <c r="K19" s="43">
        <f t="shared" si="4"/>
        <v>5631000</v>
      </c>
      <c r="L19" s="49">
        <f t="shared" si="3"/>
        <v>20303000</v>
      </c>
      <c r="M19" s="166"/>
    </row>
    <row r="20" spans="1:13" ht="15" customHeight="1">
      <c r="A20" s="3" t="s">
        <v>16</v>
      </c>
      <c r="B20" s="61">
        <v>4104000</v>
      </c>
      <c r="C20" s="61">
        <v>23000</v>
      </c>
      <c r="D20" s="61">
        <v>1172000</v>
      </c>
      <c r="E20" s="61">
        <v>4259000</v>
      </c>
      <c r="F20" s="61">
        <f>'Attach E-SUG'!D20</f>
        <v>2312000</v>
      </c>
      <c r="G20" s="63">
        <f t="shared" si="2"/>
        <v>11870000</v>
      </c>
      <c r="H20" s="109"/>
      <c r="I20" s="61">
        <f>'Attach D-Enroll + Tuition&amp;Fees'!L20</f>
        <v>1740000</v>
      </c>
      <c r="J20" s="61">
        <f>'Attach D-Enroll + Tuition&amp;Fees'!M20</f>
        <v>8649000</v>
      </c>
      <c r="K20" s="61">
        <f t="shared" si="4"/>
        <v>1481000</v>
      </c>
      <c r="L20" s="63">
        <f t="shared" si="3"/>
        <v>11870000</v>
      </c>
      <c r="M20" s="166"/>
    </row>
    <row r="21" spans="1:13" ht="15" customHeight="1">
      <c r="A21" s="8" t="s">
        <v>17</v>
      </c>
      <c r="B21" s="43">
        <v>4680000</v>
      </c>
      <c r="C21" s="43">
        <v>323000</v>
      </c>
      <c r="D21" s="43">
        <v>1227000</v>
      </c>
      <c r="E21" s="43"/>
      <c r="F21" s="43">
        <f>'Attach E-SUG'!D21</f>
        <v>2941000</v>
      </c>
      <c r="G21" s="49">
        <f t="shared" si="2"/>
        <v>9171000</v>
      </c>
      <c r="H21" s="109"/>
      <c r="I21" s="43"/>
      <c r="J21" s="43">
        <f>'Attach D-Enroll + Tuition&amp;Fees'!M21</f>
        <v>9881000</v>
      </c>
      <c r="K21" s="43">
        <f t="shared" si="4"/>
        <v>-710000</v>
      </c>
      <c r="L21" s="49">
        <f t="shared" si="3"/>
        <v>9171000</v>
      </c>
      <c r="M21" s="10"/>
    </row>
    <row r="22" spans="1:13" ht="15" customHeight="1">
      <c r="A22" s="3" t="s">
        <v>18</v>
      </c>
      <c r="B22" s="61">
        <v>3056000</v>
      </c>
      <c r="C22" s="61">
        <v>1745000</v>
      </c>
      <c r="D22" s="61">
        <v>1050000</v>
      </c>
      <c r="E22" s="61"/>
      <c r="F22" s="61">
        <f>'Attach E-SUG'!D22</f>
        <v>5272000</v>
      </c>
      <c r="G22" s="63">
        <f t="shared" si="2"/>
        <v>11123000</v>
      </c>
      <c r="H22" s="109"/>
      <c r="I22" s="61"/>
      <c r="J22" s="61">
        <f>'Attach D-Enroll + Tuition&amp;Fees'!M22</f>
        <v>6499000</v>
      </c>
      <c r="K22" s="61">
        <f t="shared" si="4"/>
        <v>4624000</v>
      </c>
      <c r="L22" s="63">
        <f t="shared" si="3"/>
        <v>11123000</v>
      </c>
    </row>
    <row r="23" spans="1:13" ht="15" customHeight="1">
      <c r="A23" s="8" t="s">
        <v>19</v>
      </c>
      <c r="B23" s="43">
        <v>6071000</v>
      </c>
      <c r="C23" s="43">
        <v>58000</v>
      </c>
      <c r="D23" s="43">
        <v>1233000</v>
      </c>
      <c r="E23" s="43">
        <v>9070000</v>
      </c>
      <c r="F23" s="43"/>
      <c r="G23" s="49">
        <f t="shared" si="2"/>
        <v>16432000</v>
      </c>
      <c r="H23" s="109"/>
      <c r="I23" s="43">
        <f>'Attach D-Enroll + Tuition&amp;Fees'!L23</f>
        <v>3464000</v>
      </c>
      <c r="J23" s="43">
        <f>'Attach D-Enroll + Tuition&amp;Fees'!M23</f>
        <v>13022000</v>
      </c>
      <c r="K23" s="43">
        <f t="shared" si="4"/>
        <v>-54000</v>
      </c>
      <c r="L23" s="49">
        <f t="shared" si="3"/>
        <v>16432000</v>
      </c>
      <c r="M23" s="166"/>
    </row>
    <row r="24" spans="1:13" ht="15" customHeight="1">
      <c r="A24" s="3" t="s">
        <v>20</v>
      </c>
      <c r="B24" s="61">
        <v>4384000</v>
      </c>
      <c r="C24" s="61">
        <v>1382000</v>
      </c>
      <c r="D24" s="61">
        <v>1429000</v>
      </c>
      <c r="E24" s="61"/>
      <c r="F24" s="61"/>
      <c r="G24" s="63">
        <f t="shared" si="2"/>
        <v>7195000</v>
      </c>
      <c r="H24" s="109"/>
      <c r="I24" s="61"/>
      <c r="J24" s="61">
        <f>'Attach D-Enroll + Tuition&amp;Fees'!M24</f>
        <v>8190000</v>
      </c>
      <c r="K24" s="61">
        <f t="shared" si="4"/>
        <v>-995000</v>
      </c>
      <c r="L24" s="63">
        <f t="shared" si="3"/>
        <v>7195000</v>
      </c>
    </row>
    <row r="25" spans="1:13" ht="15" customHeight="1">
      <c r="A25" s="8" t="s">
        <v>21</v>
      </c>
      <c r="B25" s="43">
        <v>5018000</v>
      </c>
      <c r="C25" s="43"/>
      <c r="D25" s="43">
        <v>1340000</v>
      </c>
      <c r="E25" s="43">
        <v>1152000</v>
      </c>
      <c r="F25" s="43">
        <f>'Attach E-SUG'!D25</f>
        <v>2689000</v>
      </c>
      <c r="G25" s="49">
        <f t="shared" si="2"/>
        <v>10199000</v>
      </c>
      <c r="H25" s="109"/>
      <c r="I25" s="43">
        <f>'Attach D-Enroll + Tuition&amp;Fees'!L25</f>
        <v>489000</v>
      </c>
      <c r="J25" s="43">
        <f>'Attach D-Enroll + Tuition&amp;Fees'!M25</f>
        <v>10596000</v>
      </c>
      <c r="K25" s="43">
        <f t="shared" si="4"/>
        <v>-886000</v>
      </c>
      <c r="L25" s="49">
        <f t="shared" si="3"/>
        <v>10199000</v>
      </c>
      <c r="M25" s="166"/>
    </row>
    <row r="26" spans="1:13" ht="15" customHeight="1">
      <c r="A26" s="3" t="s">
        <v>22</v>
      </c>
      <c r="B26" s="61">
        <v>4560000</v>
      </c>
      <c r="C26" s="61">
        <v>1104000</v>
      </c>
      <c r="D26" s="61">
        <v>1331000</v>
      </c>
      <c r="E26" s="61"/>
      <c r="F26" s="61">
        <f>'Attach E-SUG'!D26</f>
        <v>1323000</v>
      </c>
      <c r="G26" s="63">
        <f t="shared" si="2"/>
        <v>8318000</v>
      </c>
      <c r="H26" s="109"/>
      <c r="I26" s="61"/>
      <c r="J26" s="61">
        <f>'Attach D-Enroll + Tuition&amp;Fees'!M26</f>
        <v>7877000</v>
      </c>
      <c r="K26" s="61">
        <f t="shared" si="4"/>
        <v>441000</v>
      </c>
      <c r="L26" s="63">
        <f t="shared" si="3"/>
        <v>8318000</v>
      </c>
    </row>
    <row r="27" spans="1:13" ht="15" customHeight="1">
      <c r="A27" s="8" t="s">
        <v>23</v>
      </c>
      <c r="B27" s="43">
        <v>2369000</v>
      </c>
      <c r="C27" s="43"/>
      <c r="D27" s="43">
        <v>569000</v>
      </c>
      <c r="E27" s="43">
        <v>11436000</v>
      </c>
      <c r="F27" s="43">
        <f>'Attach E-SUG'!D27</f>
        <v>1407000</v>
      </c>
      <c r="G27" s="49">
        <f t="shared" si="2"/>
        <v>15781000</v>
      </c>
      <c r="H27" s="109"/>
      <c r="I27" s="43">
        <f>'Attach D-Enroll + Tuition&amp;Fees'!L27</f>
        <v>4619000</v>
      </c>
      <c r="J27" s="43">
        <f>'Attach D-Enroll + Tuition&amp;Fees'!M27</f>
        <v>4814000</v>
      </c>
      <c r="K27" s="43">
        <f t="shared" si="4"/>
        <v>6348000</v>
      </c>
      <c r="L27" s="49">
        <f t="shared" si="3"/>
        <v>15781000</v>
      </c>
      <c r="M27" s="166"/>
    </row>
    <row r="28" spans="1:13" ht="15" customHeight="1">
      <c r="A28" s="3" t="s">
        <v>24</v>
      </c>
      <c r="B28" s="61">
        <v>1634000</v>
      </c>
      <c r="C28" s="61"/>
      <c r="D28" s="61">
        <v>523000</v>
      </c>
      <c r="E28" s="61"/>
      <c r="F28" s="61"/>
      <c r="G28" s="63">
        <f t="shared" si="2"/>
        <v>2157000</v>
      </c>
      <c r="H28" s="109"/>
      <c r="I28" s="61"/>
      <c r="J28" s="61">
        <f>'Attach D-Enroll + Tuition&amp;Fees'!M28</f>
        <v>1892000</v>
      </c>
      <c r="K28" s="61">
        <f t="shared" si="4"/>
        <v>265000</v>
      </c>
      <c r="L28" s="63">
        <f t="shared" si="3"/>
        <v>2157000</v>
      </c>
      <c r="M28" s="10"/>
    </row>
    <row r="29" spans="1:13" ht="15" customHeight="1">
      <c r="A29" s="8" t="s">
        <v>25</v>
      </c>
      <c r="B29" s="43">
        <v>1965000</v>
      </c>
      <c r="C29" s="43">
        <v>1378000</v>
      </c>
      <c r="D29" s="43">
        <v>418000</v>
      </c>
      <c r="E29" s="43"/>
      <c r="F29" s="43">
        <f>'Attach E-SUG'!D29</f>
        <v>1341000</v>
      </c>
      <c r="G29" s="49">
        <f t="shared" si="2"/>
        <v>5102000</v>
      </c>
      <c r="H29" s="109"/>
      <c r="I29" s="43"/>
      <c r="J29" s="43">
        <f>'Attach D-Enroll + Tuition&amp;Fees'!M29</f>
        <v>3352000</v>
      </c>
      <c r="K29" s="43">
        <f t="shared" si="4"/>
        <v>1750000</v>
      </c>
      <c r="L29" s="49">
        <f t="shared" si="3"/>
        <v>5102000</v>
      </c>
      <c r="M29" s="10"/>
    </row>
    <row r="30" spans="1:13" ht="20.100000000000001" customHeight="1">
      <c r="A30" s="1" t="s">
        <v>26</v>
      </c>
      <c r="B30" s="105">
        <f t="shared" ref="B30:D30" si="5">SUM(B7:B29)</f>
        <v>76960000</v>
      </c>
      <c r="C30" s="105">
        <f t="shared" si="5"/>
        <v>12548000</v>
      </c>
      <c r="D30" s="105">
        <f t="shared" si="5"/>
        <v>22310000</v>
      </c>
      <c r="E30" s="105">
        <f>SUM(E7:E29)</f>
        <v>54957000</v>
      </c>
      <c r="F30" s="105">
        <f t="shared" ref="F30" si="6">SUM(F7:F29)</f>
        <v>52957000</v>
      </c>
      <c r="G30" s="64">
        <f>SUM(G7:G29)</f>
        <v>219732000</v>
      </c>
      <c r="H30" s="109"/>
      <c r="I30" s="105">
        <f>SUM(I7:I29)</f>
        <v>22675000</v>
      </c>
      <c r="J30" s="105">
        <f>SUM(J7:J29)</f>
        <v>153848000</v>
      </c>
      <c r="K30" s="105">
        <f>SUM(K7:K29)</f>
        <v>43209000</v>
      </c>
      <c r="L30" s="64">
        <f>SUM(L7:L29)</f>
        <v>219732000</v>
      </c>
    </row>
    <row r="31" spans="1:13" ht="20.100000000000001" customHeight="1">
      <c r="A31" s="8" t="s">
        <v>90</v>
      </c>
      <c r="B31" s="43">
        <v>1335000</v>
      </c>
      <c r="C31" s="43"/>
      <c r="D31" s="43">
        <v>325000</v>
      </c>
      <c r="E31" s="43"/>
      <c r="F31" s="43"/>
      <c r="G31" s="111">
        <f>SUM(B31:F31)</f>
        <v>1660000</v>
      </c>
      <c r="H31" s="109"/>
      <c r="I31" s="43"/>
      <c r="J31" s="99"/>
      <c r="K31" s="43">
        <f t="shared" ref="K31:K32" si="7">G31-J31-I31</f>
        <v>1660000</v>
      </c>
      <c r="L31" s="111">
        <f>SUM(I31:K31)</f>
        <v>1660000</v>
      </c>
    </row>
    <row r="32" spans="1:13" ht="15" customHeight="1">
      <c r="A32" s="109" t="s">
        <v>28</v>
      </c>
      <c r="B32" s="61">
        <v>66000</v>
      </c>
      <c r="C32" s="61"/>
      <c r="D32" s="61"/>
      <c r="E32" s="147"/>
      <c r="F32" s="61"/>
      <c r="G32" s="63">
        <f>SUM(B32:F32)</f>
        <v>66000</v>
      </c>
      <c r="H32" s="109"/>
      <c r="I32" s="61"/>
      <c r="J32" s="61"/>
      <c r="K32" s="61">
        <f t="shared" si="7"/>
        <v>66000</v>
      </c>
      <c r="L32" s="63">
        <f>SUM(I32:K32)</f>
        <v>66000</v>
      </c>
    </row>
    <row r="33" spans="1:12" ht="20.100000000000001" customHeight="1" thickBot="1">
      <c r="A33" s="20" t="s">
        <v>32</v>
      </c>
      <c r="B33" s="106">
        <f t="shared" ref="B33:G33" si="8">SUM(B30:B32)</f>
        <v>78361000</v>
      </c>
      <c r="C33" s="106">
        <f t="shared" si="8"/>
        <v>12548000</v>
      </c>
      <c r="D33" s="106">
        <f t="shared" si="8"/>
        <v>22635000</v>
      </c>
      <c r="E33" s="106">
        <f t="shared" si="8"/>
        <v>54957000</v>
      </c>
      <c r="F33" s="106">
        <f t="shared" si="8"/>
        <v>52957000</v>
      </c>
      <c r="G33" s="102">
        <f t="shared" si="8"/>
        <v>221458000</v>
      </c>
      <c r="H33" s="109"/>
      <c r="I33" s="106">
        <f>SUM(I30:I32)</f>
        <v>22675000</v>
      </c>
      <c r="J33" s="106">
        <f>SUM(J30:J32)</f>
        <v>153848000</v>
      </c>
      <c r="K33" s="106">
        <f>SUM(K30:K32)</f>
        <v>44935000</v>
      </c>
      <c r="L33" s="102">
        <f>SUM(L30:L32)</f>
        <v>221458000</v>
      </c>
    </row>
    <row r="34" spans="1:12">
      <c r="K34" s="3"/>
    </row>
    <row r="35" spans="1:12">
      <c r="A35" s="171" t="s">
        <v>100</v>
      </c>
      <c r="D35" s="10"/>
      <c r="K35" s="3"/>
    </row>
    <row r="36" spans="1:12">
      <c r="D36" s="154"/>
      <c r="E36" s="88"/>
      <c r="F36" s="146"/>
      <c r="K36" s="3"/>
    </row>
    <row r="37" spans="1:12">
      <c r="E37" s="88"/>
      <c r="F37" s="154"/>
    </row>
  </sheetData>
  <mergeCells count="2">
    <mergeCell ref="B3:D3"/>
    <mergeCell ref="I3:L3"/>
  </mergeCells>
  <printOptions horizontalCentered="1"/>
  <pageMargins left="0.6" right="0.6" top="0.5" bottom="0.5" header="0.3" footer="0.3"/>
  <pageSetup paperSize="5" scale="83" orientation="landscape" r:id="rId1"/>
  <ignoredErrors>
    <ignoredError sqref="G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F17-6ABA-41AB-90DF-9091113E3F76}">
  <sheetPr>
    <tabColor rgb="FFFFC000"/>
    <pageSetUpPr fitToPage="1"/>
  </sheetPr>
  <dimension ref="A1:V41"/>
  <sheetViews>
    <sheetView zoomScaleNormal="100" workbookViewId="0"/>
  </sheetViews>
  <sheetFormatPr defaultColWidth="8.85546875" defaultRowHeight="15"/>
  <cols>
    <col min="1" max="1" width="36.7109375" style="3" customWidth="1"/>
    <col min="2" max="4" width="15.7109375" style="3" customWidth="1"/>
    <col min="5" max="7" width="15.7109375" style="4" customWidth="1"/>
    <col min="8" max="8" width="15.7109375" style="109" customWidth="1"/>
    <col min="9" max="9" width="16.7109375" style="3" customWidth="1"/>
    <col min="10" max="10" width="3.7109375" style="3" customWidth="1"/>
    <col min="11" max="13" width="15.7109375" style="3" customWidth="1"/>
    <col min="14" max="14" width="15.7109375" style="114" customWidth="1"/>
    <col min="15" max="15" width="16.7109375" style="3" customWidth="1"/>
    <col min="16" max="16" width="12.5703125" style="3" customWidth="1"/>
    <col min="17" max="17" width="8.85546875" style="3"/>
    <col min="18" max="18" width="15.85546875" style="3" bestFit="1" customWidth="1"/>
    <col min="19" max="20" width="8.85546875" style="3"/>
    <col min="21" max="21" width="9.85546875" style="3" bestFit="1" customWidth="1"/>
    <col min="22" max="22" width="10.85546875" style="3" bestFit="1" customWidth="1"/>
    <col min="23" max="16384" width="8.85546875" style="3"/>
  </cols>
  <sheetData>
    <row r="1" spans="1:22" ht="18.75" customHeight="1">
      <c r="A1" s="65" t="s">
        <v>54</v>
      </c>
      <c r="D1" s="6"/>
      <c r="R1" s="3" t="s">
        <v>67</v>
      </c>
    </row>
    <row r="2" spans="1:22" ht="18.75" customHeight="1">
      <c r="A2" s="2" t="s">
        <v>45</v>
      </c>
      <c r="D2" s="6"/>
      <c r="E2" s="89"/>
      <c r="K2" s="6"/>
      <c r="L2" s="6"/>
      <c r="M2" s="6"/>
      <c r="R2">
        <v>202306</v>
      </c>
    </row>
    <row r="3" spans="1:22" s="6" customFormat="1" ht="20.100000000000001" customHeight="1">
      <c r="B3" s="181" t="s">
        <v>34</v>
      </c>
      <c r="C3" s="181"/>
      <c r="D3" s="181"/>
      <c r="E3" s="89"/>
      <c r="F3" s="4"/>
      <c r="G3" s="4"/>
      <c r="H3" s="146"/>
      <c r="K3" s="182" t="s">
        <v>35</v>
      </c>
      <c r="L3" s="182"/>
      <c r="M3" s="182"/>
      <c r="N3" s="182"/>
      <c r="O3" s="163"/>
      <c r="R3" s="3">
        <v>10</v>
      </c>
    </row>
    <row r="4" spans="1:22">
      <c r="A4" s="6"/>
      <c r="B4" s="4">
        <v>-1</v>
      </c>
      <c r="C4" s="4">
        <f>B4-1</f>
        <v>-2</v>
      </c>
      <c r="D4" s="4">
        <f t="shared" ref="D4" si="0">C4-1</f>
        <v>-3</v>
      </c>
      <c r="E4" s="4">
        <f>D4-1</f>
        <v>-4</v>
      </c>
      <c r="F4" s="4">
        <f t="shared" ref="F4:I4" si="1">E4-1</f>
        <v>-5</v>
      </c>
      <c r="G4" s="4">
        <f t="shared" si="1"/>
        <v>-6</v>
      </c>
      <c r="H4" s="114">
        <f t="shared" si="1"/>
        <v>-7</v>
      </c>
      <c r="I4" s="34">
        <f t="shared" si="1"/>
        <v>-8</v>
      </c>
      <c r="K4" s="4">
        <f>I4-1</f>
        <v>-9</v>
      </c>
      <c r="L4" s="4">
        <f>K4-1</f>
        <v>-10</v>
      </c>
      <c r="M4" s="4">
        <f>L4-1</f>
        <v>-11</v>
      </c>
      <c r="N4" s="114">
        <f>M4-1</f>
        <v>-12</v>
      </c>
      <c r="O4" s="34">
        <f t="shared" ref="O4" si="2">N4-1</f>
        <v>-13</v>
      </c>
      <c r="R4" s="3">
        <v>948</v>
      </c>
    </row>
    <row r="5" spans="1:22" ht="60" customHeight="1">
      <c r="A5" s="9"/>
      <c r="B5" s="22" t="s">
        <v>36</v>
      </c>
      <c r="C5" s="22" t="s">
        <v>37</v>
      </c>
      <c r="D5" s="21" t="s">
        <v>44</v>
      </c>
      <c r="E5" s="22" t="s">
        <v>78</v>
      </c>
      <c r="F5" s="22" t="s">
        <v>33</v>
      </c>
      <c r="G5" s="22" t="s">
        <v>38</v>
      </c>
      <c r="H5" s="22" t="s">
        <v>39</v>
      </c>
      <c r="I5" s="38" t="s">
        <v>55</v>
      </c>
      <c r="J5" s="109"/>
      <c r="K5" s="21" t="s">
        <v>52</v>
      </c>
      <c r="L5" s="22" t="s">
        <v>51</v>
      </c>
      <c r="M5" s="22" t="s">
        <v>86</v>
      </c>
      <c r="N5" s="22" t="s">
        <v>49</v>
      </c>
      <c r="O5" s="38" t="s">
        <v>85</v>
      </c>
      <c r="P5" s="168" t="s">
        <v>87</v>
      </c>
      <c r="R5" s="3">
        <v>485</v>
      </c>
      <c r="V5" s="3" t="s">
        <v>79</v>
      </c>
    </row>
    <row r="6" spans="1:22" s="52" customFormat="1" ht="24" customHeight="1">
      <c r="A6" s="51"/>
      <c r="B6" s="37"/>
      <c r="C6" s="86"/>
      <c r="D6" s="51"/>
      <c r="E6" s="107"/>
      <c r="F6" s="82"/>
      <c r="G6" s="107" t="s">
        <v>66</v>
      </c>
      <c r="H6" s="86" t="s">
        <v>69</v>
      </c>
      <c r="I6" s="96" t="str">
        <f>"(Sum Col. "&amp;-B4&amp;"-"&amp;-H4&amp;")"</f>
        <v>(Sum Col. 1-7)</v>
      </c>
      <c r="J6" s="110"/>
      <c r="K6" s="103" t="str">
        <f>"(Attach. D, Col. "&amp;-'Attach D-Enroll + Tuition&amp;Fees'!K4&amp;")"</f>
        <v>(Attach. D, Col. 10)</v>
      </c>
      <c r="L6" s="103" t="str">
        <f>"(Attach. D, Col. "&amp;-'Attach D-Enroll + Tuition&amp;Fees'!M4&amp;")"</f>
        <v>(Attach. D, Col. 12)</v>
      </c>
      <c r="M6" s="103" t="str">
        <f>"(Attach. D, Col. "&amp;-'Attach D-Enroll + Tuition&amp;Fees'!N4&amp;")"</f>
        <v>(Attach. D, Col. 13)</v>
      </c>
      <c r="N6" s="86" t="str">
        <f>"(Col. "&amp;-I4&amp;" - Col. "&amp;-K4&amp;" -    Col. "&amp;-L4&amp;" - Col. "&amp;-M4&amp;")"</f>
        <v>(Col. 8 - Col. 9 -    Col. 10 - Col. 11)</v>
      </c>
      <c r="O6" s="96" t="str">
        <f>"(Sum Col. "&amp;-K4&amp;"-"&amp;-N4&amp;")"</f>
        <v>(Sum Col. 9-12)</v>
      </c>
      <c r="R6" s="3" t="s">
        <v>68</v>
      </c>
    </row>
    <row r="7" spans="1:22" ht="20.100000000000001" customHeight="1">
      <c r="A7" s="8" t="s">
        <v>3</v>
      </c>
      <c r="B7" s="60">
        <v>1871000</v>
      </c>
      <c r="C7" s="60">
        <v>1488000</v>
      </c>
      <c r="D7" s="60">
        <v>418000</v>
      </c>
      <c r="E7" s="60" t="e">
        <f t="shared" ref="E7:E22" si="3">ROUND(S7*$E$39,-3)</f>
        <v>#REF!</v>
      </c>
      <c r="F7" s="97"/>
      <c r="G7" s="60"/>
      <c r="H7" s="60" t="e">
        <f>'Attach E-SUG'!#REF!</f>
        <v>#REF!</v>
      </c>
      <c r="I7" s="62" t="e">
        <f t="shared" ref="I7:I29" si="4">SUM(B7:H7)</f>
        <v>#REF!</v>
      </c>
      <c r="J7" s="109"/>
      <c r="K7" s="60"/>
      <c r="L7" s="60">
        <f>'Attach D-Enroll + Tuition&amp;Fees'!M7</f>
        <v>3179000</v>
      </c>
      <c r="M7" s="60">
        <v>94000</v>
      </c>
      <c r="N7" s="60" t="e">
        <f>I7-L7-K7-M7</f>
        <v>#REF!</v>
      </c>
      <c r="O7" s="62" t="e">
        <f>SUM(K7:N7)</f>
        <v>#REF!</v>
      </c>
      <c r="P7" s="167" t="e">
        <f>N7-'Attach C-ExpenditureAdjustments'!K7</f>
        <v>#REF!</v>
      </c>
      <c r="R7" s="3">
        <v>90579160</v>
      </c>
      <c r="S7" s="108">
        <f>R7/$R$36</f>
        <v>2.2873881183979435E-2</v>
      </c>
      <c r="V7" s="3" t="e">
        <f>ROUND(S7*$E$39,0)</f>
        <v>#REF!</v>
      </c>
    </row>
    <row r="8" spans="1:22" ht="15" customHeight="1">
      <c r="A8" s="3" t="s">
        <v>4</v>
      </c>
      <c r="B8" s="61">
        <v>1477000</v>
      </c>
      <c r="C8" s="95"/>
      <c r="D8" s="61">
        <v>466000</v>
      </c>
      <c r="E8" s="61" t="e">
        <f t="shared" si="3"/>
        <v>#REF!</v>
      </c>
      <c r="F8" s="98"/>
      <c r="G8" s="61"/>
      <c r="H8" s="61" t="e">
        <f>'Attach E-SUG'!#REF!</f>
        <v>#REF!</v>
      </c>
      <c r="I8" s="63" t="e">
        <f t="shared" si="4"/>
        <v>#REF!</v>
      </c>
      <c r="J8" s="109"/>
      <c r="K8" s="61"/>
      <c r="L8" s="61">
        <f>'Attach D-Enroll + Tuition&amp;Fees'!M8</f>
        <v>1789000</v>
      </c>
      <c r="M8" s="61">
        <v>50000</v>
      </c>
      <c r="N8" s="61" t="e">
        <f t="shared" ref="N8:N29" si="5">I8-L8-K8-M8</f>
        <v>#REF!</v>
      </c>
      <c r="O8" s="63" t="e">
        <f t="shared" ref="O8:O29" si="6">SUM(K8:N8)</f>
        <v>#REF!</v>
      </c>
      <c r="P8" s="167" t="e">
        <f>N8-'Attach C-ExpenditureAdjustments'!K8</f>
        <v>#REF!</v>
      </c>
      <c r="R8" s="3">
        <v>74254867</v>
      </c>
      <c r="S8" s="108">
        <f t="shared" ref="S8:S36" si="7">R8/$R$36</f>
        <v>1.8751520825432643E-2</v>
      </c>
      <c r="V8" s="3" t="e">
        <f t="shared" ref="V8:V31" si="8">ROUND(S8*$E$39,0)</f>
        <v>#REF!</v>
      </c>
    </row>
    <row r="9" spans="1:22" ht="15" customHeight="1">
      <c r="A9" s="8" t="s">
        <v>5</v>
      </c>
      <c r="B9" s="43">
        <v>3133000</v>
      </c>
      <c r="C9" s="43">
        <v>2989000</v>
      </c>
      <c r="D9" s="43">
        <v>781000</v>
      </c>
      <c r="E9" s="43" t="e">
        <f>ROUND(S9*$E$39,-3)</f>
        <v>#REF!</v>
      </c>
      <c r="F9" s="99"/>
      <c r="G9" s="43"/>
      <c r="H9" s="43" t="e">
        <f>'Attach E-SUG'!#REF!</f>
        <v>#REF!</v>
      </c>
      <c r="I9" s="49" t="e">
        <f t="shared" si="4"/>
        <v>#REF!</v>
      </c>
      <c r="J9" s="109"/>
      <c r="K9" s="43"/>
      <c r="L9" s="43">
        <f>'Attach D-Enroll + Tuition&amp;Fees'!M9</f>
        <v>4484000</v>
      </c>
      <c r="M9" s="43">
        <v>148000</v>
      </c>
      <c r="N9" s="43" t="e">
        <f t="shared" si="5"/>
        <v>#REF!</v>
      </c>
      <c r="O9" s="49" t="e">
        <f t="shared" si="6"/>
        <v>#REF!</v>
      </c>
      <c r="P9" s="167" t="e">
        <f>N9-'Attach C-ExpenditureAdjustments'!K9</f>
        <v>#REF!</v>
      </c>
      <c r="R9" s="3">
        <v>139133971</v>
      </c>
      <c r="S9" s="108">
        <f t="shared" si="7"/>
        <v>3.5135387889545899E-2</v>
      </c>
      <c r="V9" s="3" t="e">
        <f t="shared" si="8"/>
        <v>#REF!</v>
      </c>
    </row>
    <row r="10" spans="1:22" ht="15" customHeight="1">
      <c r="A10" s="3" t="s">
        <v>6</v>
      </c>
      <c r="B10" s="61">
        <v>2333000</v>
      </c>
      <c r="C10" s="61">
        <v>34000</v>
      </c>
      <c r="D10" s="61">
        <v>880000</v>
      </c>
      <c r="E10" s="61" t="e">
        <f t="shared" si="3"/>
        <v>#REF!</v>
      </c>
      <c r="F10" s="98"/>
      <c r="G10" s="95"/>
      <c r="H10" s="61" t="e">
        <f>'Attach E-SUG'!#REF!</f>
        <v>#REF!</v>
      </c>
      <c r="I10" s="63" t="e">
        <f t="shared" si="4"/>
        <v>#REF!</v>
      </c>
      <c r="J10" s="109"/>
      <c r="K10" s="95"/>
      <c r="L10" s="61">
        <f>'Attach D-Enroll + Tuition&amp;Fees'!M10</f>
        <v>4642000</v>
      </c>
      <c r="M10" s="61">
        <v>119000</v>
      </c>
      <c r="N10" s="61" t="e">
        <f t="shared" si="5"/>
        <v>#REF!</v>
      </c>
      <c r="O10" s="63" t="e">
        <f t="shared" si="6"/>
        <v>#REF!</v>
      </c>
      <c r="P10" s="167" t="e">
        <f>N10-'Attach C-ExpenditureAdjustments'!K10</f>
        <v>#REF!</v>
      </c>
      <c r="R10" s="3">
        <v>123263434</v>
      </c>
      <c r="S10" s="108">
        <f t="shared" si="7"/>
        <v>3.1127614162521387E-2</v>
      </c>
      <c r="V10" s="3" t="e">
        <f t="shared" si="8"/>
        <v>#REF!</v>
      </c>
    </row>
    <row r="11" spans="1:22" ht="15" customHeight="1">
      <c r="A11" s="8" t="s">
        <v>7</v>
      </c>
      <c r="B11" s="43">
        <v>2570000</v>
      </c>
      <c r="C11" s="43">
        <v>527000</v>
      </c>
      <c r="D11" s="43">
        <v>813000</v>
      </c>
      <c r="E11" s="43" t="e">
        <f t="shared" si="3"/>
        <v>#REF!</v>
      </c>
      <c r="F11" s="99"/>
      <c r="G11" s="43"/>
      <c r="H11" s="43" t="e">
        <f>'Attach E-SUG'!#REF!</f>
        <v>#REF!</v>
      </c>
      <c r="I11" s="49" t="e">
        <f t="shared" si="4"/>
        <v>#REF!</v>
      </c>
      <c r="J11" s="109"/>
      <c r="K11" s="43"/>
      <c r="L11" s="43">
        <f>'Attach D-Enroll + Tuition&amp;Fees'!M11</f>
        <v>4144000</v>
      </c>
      <c r="M11" s="43">
        <v>452000</v>
      </c>
      <c r="N11" s="43" t="e">
        <f t="shared" si="5"/>
        <v>#REF!</v>
      </c>
      <c r="O11" s="49" t="e">
        <f t="shared" si="6"/>
        <v>#REF!</v>
      </c>
      <c r="P11" s="167" t="e">
        <f>N11-'Attach C-ExpenditureAdjustments'!K11</f>
        <v>#REF!</v>
      </c>
      <c r="R11" s="3">
        <v>122874927</v>
      </c>
      <c r="S11" s="108">
        <f t="shared" si="7"/>
        <v>3.1029504807597537E-2</v>
      </c>
      <c r="V11" s="3" t="e">
        <f t="shared" si="8"/>
        <v>#REF!</v>
      </c>
    </row>
    <row r="12" spans="1:22" ht="15" customHeight="1">
      <c r="A12" s="3" t="s">
        <v>8</v>
      </c>
      <c r="B12" s="61">
        <v>3990000</v>
      </c>
      <c r="C12" s="61">
        <v>146000</v>
      </c>
      <c r="D12" s="61">
        <v>1157000</v>
      </c>
      <c r="E12" s="61" t="e">
        <f t="shared" si="3"/>
        <v>#REF!</v>
      </c>
      <c r="F12" s="98"/>
      <c r="G12" s="61"/>
      <c r="H12" s="61" t="e">
        <f>'Attach E-SUG'!#REF!</f>
        <v>#REF!</v>
      </c>
      <c r="I12" s="63" t="e">
        <f t="shared" si="4"/>
        <v>#REF!</v>
      </c>
      <c r="J12" s="109"/>
      <c r="K12" s="61"/>
      <c r="L12" s="61">
        <f>'Attach D-Enroll + Tuition&amp;Fees'!M12</f>
        <v>7861000</v>
      </c>
      <c r="M12" s="61">
        <v>386000</v>
      </c>
      <c r="N12" s="61" t="e">
        <f t="shared" si="5"/>
        <v>#REF!</v>
      </c>
      <c r="O12" s="63" t="e">
        <f t="shared" si="6"/>
        <v>#REF!</v>
      </c>
      <c r="P12" s="167" t="e">
        <f>N12-'Attach C-ExpenditureAdjustments'!K12</f>
        <v>#REF!</v>
      </c>
      <c r="R12" s="3">
        <v>186269741</v>
      </c>
      <c r="S12" s="108">
        <f t="shared" si="7"/>
        <v>4.7038545332111964E-2</v>
      </c>
      <c r="V12" s="3" t="e">
        <f t="shared" si="8"/>
        <v>#REF!</v>
      </c>
    </row>
    <row r="13" spans="1:22" ht="15" customHeight="1">
      <c r="A13" s="8" t="s">
        <v>9</v>
      </c>
      <c r="B13" s="43">
        <v>5441000</v>
      </c>
      <c r="C13" s="43"/>
      <c r="D13" s="43">
        <v>1546000</v>
      </c>
      <c r="E13" s="43" t="e">
        <f t="shared" si="3"/>
        <v>#REF!</v>
      </c>
      <c r="F13" s="99"/>
      <c r="G13" s="60">
        <v>13014000</v>
      </c>
      <c r="H13" s="43" t="e">
        <f>'Attach E-SUG'!#REF!</f>
        <v>#REF!</v>
      </c>
      <c r="I13" s="49" t="e">
        <f t="shared" si="4"/>
        <v>#REF!</v>
      </c>
      <c r="J13" s="109"/>
      <c r="K13" s="60">
        <f>'Attach D-Enroll + Tuition&amp;Fees'!L13</f>
        <v>5611000</v>
      </c>
      <c r="L13" s="43">
        <f>'Attach D-Enroll + Tuition&amp;Fees'!M13</f>
        <v>13937000</v>
      </c>
      <c r="M13" s="43">
        <v>643000</v>
      </c>
      <c r="N13" s="43" t="e">
        <f t="shared" si="5"/>
        <v>#REF!</v>
      </c>
      <c r="O13" s="49" t="e">
        <f t="shared" si="6"/>
        <v>#REF!</v>
      </c>
      <c r="P13" s="167" t="e">
        <f>N13-'Attach C-ExpenditureAdjustments'!K13</f>
        <v>#REF!</v>
      </c>
      <c r="R13" s="3">
        <v>268698864</v>
      </c>
      <c r="S13" s="108">
        <f t="shared" si="7"/>
        <v>6.7854304338947818E-2</v>
      </c>
      <c r="V13" s="3" t="e">
        <f t="shared" si="8"/>
        <v>#REF!</v>
      </c>
    </row>
    <row r="14" spans="1:22" ht="15" customHeight="1">
      <c r="A14" s="3" t="s">
        <v>10</v>
      </c>
      <c r="B14" s="61">
        <v>1818000</v>
      </c>
      <c r="C14" s="61"/>
      <c r="D14" s="61">
        <v>500000</v>
      </c>
      <c r="E14" s="61" t="e">
        <f t="shared" si="3"/>
        <v>#REF!</v>
      </c>
      <c r="F14" s="98"/>
      <c r="G14" s="61"/>
      <c r="H14" s="61" t="e">
        <f>'Attach E-SUG'!#REF!</f>
        <v>#REF!</v>
      </c>
      <c r="I14" s="63" t="e">
        <f t="shared" si="4"/>
        <v>#REF!</v>
      </c>
      <c r="J14" s="109"/>
      <c r="K14" s="61"/>
      <c r="L14" s="61">
        <f>'Attach D-Enroll + Tuition&amp;Fees'!M14</f>
        <v>2084000</v>
      </c>
      <c r="M14" s="61">
        <v>64000</v>
      </c>
      <c r="N14" s="61" t="e">
        <f t="shared" si="5"/>
        <v>#REF!</v>
      </c>
      <c r="O14" s="63" t="e">
        <f t="shared" si="6"/>
        <v>#REF!</v>
      </c>
      <c r="P14" s="167" t="e">
        <f>N14-'Attach C-ExpenditureAdjustments'!K14</f>
        <v>#REF!</v>
      </c>
      <c r="R14" s="3">
        <v>86746752</v>
      </c>
      <c r="S14" s="108">
        <f t="shared" si="7"/>
        <v>2.1906086326525111E-2</v>
      </c>
      <c r="V14" s="3" t="e">
        <f t="shared" si="8"/>
        <v>#REF!</v>
      </c>
    </row>
    <row r="15" spans="1:22" ht="15" customHeight="1">
      <c r="A15" s="8" t="s">
        <v>11</v>
      </c>
      <c r="B15" s="43">
        <v>5594000</v>
      </c>
      <c r="C15" s="43">
        <v>393000</v>
      </c>
      <c r="D15" s="43">
        <v>1707000</v>
      </c>
      <c r="E15" s="43" t="e">
        <f t="shared" si="3"/>
        <v>#REF!</v>
      </c>
      <c r="F15" s="99"/>
      <c r="G15" s="43">
        <v>9070000</v>
      </c>
      <c r="H15" s="43" t="e">
        <f>'Attach E-SUG'!#REF!</f>
        <v>#REF!</v>
      </c>
      <c r="I15" s="49" t="e">
        <f t="shared" si="4"/>
        <v>#REF!</v>
      </c>
      <c r="J15" s="109"/>
      <c r="K15" s="43">
        <f>'Attach D-Enroll + Tuition&amp;Fees'!L15</f>
        <v>3849000</v>
      </c>
      <c r="L15" s="43">
        <f>'Attach D-Enroll + Tuition&amp;Fees'!M15</f>
        <v>13305000</v>
      </c>
      <c r="M15" s="43">
        <v>823000</v>
      </c>
      <c r="N15" s="43" t="e">
        <f t="shared" si="5"/>
        <v>#REF!</v>
      </c>
      <c r="O15" s="49" t="e">
        <f t="shared" si="6"/>
        <v>#REF!</v>
      </c>
      <c r="P15" s="167" t="e">
        <f>N15-'Attach C-ExpenditureAdjustments'!K15</f>
        <v>#REF!</v>
      </c>
      <c r="R15" s="3">
        <v>299630857</v>
      </c>
      <c r="S15" s="108">
        <f t="shared" si="7"/>
        <v>7.5665535229868908E-2</v>
      </c>
      <c r="V15" s="3" t="e">
        <f t="shared" si="8"/>
        <v>#REF!</v>
      </c>
    </row>
    <row r="16" spans="1:22" ht="15" customHeight="1">
      <c r="A16" s="3" t="s">
        <v>12</v>
      </c>
      <c r="B16" s="61">
        <v>3585000</v>
      </c>
      <c r="C16" s="61"/>
      <c r="D16" s="61">
        <v>1296000</v>
      </c>
      <c r="E16" s="61" t="e">
        <f t="shared" si="3"/>
        <v>#REF!</v>
      </c>
      <c r="F16" s="98"/>
      <c r="G16" s="61">
        <v>1972000</v>
      </c>
      <c r="H16" s="61" t="e">
        <f>'Attach E-SUG'!#REF!</f>
        <v>#REF!</v>
      </c>
      <c r="I16" s="63" t="e">
        <f t="shared" si="4"/>
        <v>#REF!</v>
      </c>
      <c r="J16" s="109"/>
      <c r="K16" s="61">
        <f>'Attach D-Enroll + Tuition&amp;Fees'!L16</f>
        <v>852000</v>
      </c>
      <c r="L16" s="61">
        <f>'Attach D-Enroll + Tuition&amp;Fees'!M16</f>
        <v>8539000</v>
      </c>
      <c r="M16" s="61">
        <v>300000</v>
      </c>
      <c r="N16" s="61" t="e">
        <f t="shared" si="5"/>
        <v>#REF!</v>
      </c>
      <c r="O16" s="63" t="e">
        <f t="shared" si="6"/>
        <v>#REF!</v>
      </c>
      <c r="P16" s="167" t="e">
        <f>N16-'Attach C-ExpenditureAdjustments'!K16</f>
        <v>#REF!</v>
      </c>
      <c r="R16" s="3">
        <v>184235278</v>
      </c>
      <c r="S16" s="108">
        <f t="shared" si="7"/>
        <v>4.6524784054846835E-2</v>
      </c>
      <c r="V16" s="3" t="e">
        <f t="shared" si="8"/>
        <v>#REF!</v>
      </c>
    </row>
    <row r="17" spans="1:22" ht="15" customHeight="1">
      <c r="A17" s="8" t="s">
        <v>13</v>
      </c>
      <c r="B17" s="43">
        <v>493000</v>
      </c>
      <c r="C17" s="43"/>
      <c r="D17" s="43">
        <v>322000</v>
      </c>
      <c r="E17" s="43" t="e">
        <f t="shared" si="3"/>
        <v>#REF!</v>
      </c>
      <c r="F17" s="99"/>
      <c r="G17" s="43"/>
      <c r="H17" s="43" t="e">
        <f>'Attach E-SUG'!#REF!</f>
        <v>#REF!</v>
      </c>
      <c r="I17" s="49" t="e">
        <f t="shared" si="4"/>
        <v>#REF!</v>
      </c>
      <c r="J17" s="109"/>
      <c r="K17" s="43"/>
      <c r="L17" s="43">
        <f>'Attach D-Enroll + Tuition&amp;Fees'!M17</f>
        <v>317000</v>
      </c>
      <c r="M17" s="43">
        <v>18000</v>
      </c>
      <c r="N17" s="43" t="e">
        <f t="shared" si="5"/>
        <v>#REF!</v>
      </c>
      <c r="O17" s="49" t="e">
        <f t="shared" si="6"/>
        <v>#REF!</v>
      </c>
      <c r="P17" s="167" t="e">
        <f>N17-'Attach C-ExpenditureAdjustments'!K17</f>
        <v>#REF!</v>
      </c>
      <c r="R17" s="3">
        <v>26179692</v>
      </c>
      <c r="S17" s="108">
        <f t="shared" si="7"/>
        <v>6.6111362066194578E-3</v>
      </c>
      <c r="V17" s="3" t="e">
        <f t="shared" si="8"/>
        <v>#REF!</v>
      </c>
    </row>
    <row r="18" spans="1:22" ht="15" customHeight="1">
      <c r="A18" s="3" t="s">
        <v>14</v>
      </c>
      <c r="B18" s="61">
        <v>1546000</v>
      </c>
      <c r="C18" s="61">
        <v>149000</v>
      </c>
      <c r="D18" s="61">
        <v>502000</v>
      </c>
      <c r="E18" s="61" t="e">
        <f t="shared" si="3"/>
        <v>#REF!</v>
      </c>
      <c r="F18" s="98"/>
      <c r="G18" s="61"/>
      <c r="H18" s="61" t="e">
        <f>'Attach E-SUG'!#REF!</f>
        <v>#REF!</v>
      </c>
      <c r="I18" s="63" t="e">
        <f t="shared" si="4"/>
        <v>#REF!</v>
      </c>
      <c r="J18" s="109"/>
      <c r="K18" s="61"/>
      <c r="L18" s="61">
        <f>'Attach D-Enroll + Tuition&amp;Fees'!M18</f>
        <v>2174000</v>
      </c>
      <c r="M18" s="61">
        <v>111000</v>
      </c>
      <c r="N18" s="61" t="e">
        <f t="shared" si="5"/>
        <v>#REF!</v>
      </c>
      <c r="O18" s="63" t="e">
        <f t="shared" si="6"/>
        <v>#REF!</v>
      </c>
      <c r="P18" s="167" t="e">
        <f>N18-'Attach C-ExpenditureAdjustments'!K18</f>
        <v>#REF!</v>
      </c>
      <c r="R18" s="3">
        <v>78918554</v>
      </c>
      <c r="S18" s="108">
        <f t="shared" si="7"/>
        <v>1.9929237888797652E-2</v>
      </c>
      <c r="V18" s="3" t="e">
        <f t="shared" si="8"/>
        <v>#REF!</v>
      </c>
    </row>
    <row r="19" spans="1:22" ht="15" customHeight="1">
      <c r="A19" s="8" t="s">
        <v>15</v>
      </c>
      <c r="B19" s="43">
        <v>5268000</v>
      </c>
      <c r="C19" s="43">
        <v>809000</v>
      </c>
      <c r="D19" s="43">
        <v>1630000</v>
      </c>
      <c r="E19" s="43" t="e">
        <f t="shared" si="3"/>
        <v>#REF!</v>
      </c>
      <c r="F19" s="99"/>
      <c r="G19" s="43">
        <v>4732000</v>
      </c>
      <c r="H19" s="43" t="e">
        <f>'Attach E-SUG'!#REF!</f>
        <v>#REF!</v>
      </c>
      <c r="I19" s="49" t="e">
        <f t="shared" si="4"/>
        <v>#REF!</v>
      </c>
      <c r="J19" s="109"/>
      <c r="K19" s="43">
        <f>'Attach D-Enroll + Tuition&amp;Fees'!L19</f>
        <v>2051000</v>
      </c>
      <c r="L19" s="43">
        <f>'Attach D-Enroll + Tuition&amp;Fees'!M19</f>
        <v>12621000</v>
      </c>
      <c r="M19" s="43">
        <v>751000</v>
      </c>
      <c r="N19" s="43" t="e">
        <f t="shared" si="5"/>
        <v>#REF!</v>
      </c>
      <c r="O19" s="49" t="e">
        <f t="shared" si="6"/>
        <v>#REF!</v>
      </c>
      <c r="P19" s="167" t="e">
        <f>N19-'Attach C-ExpenditureAdjustments'!K19</f>
        <v>#REF!</v>
      </c>
      <c r="R19" s="3">
        <v>272595565</v>
      </c>
      <c r="S19" s="108">
        <f t="shared" si="7"/>
        <v>6.8838335055102548E-2</v>
      </c>
      <c r="V19" s="3" t="e">
        <f t="shared" si="8"/>
        <v>#REF!</v>
      </c>
    </row>
    <row r="20" spans="1:22" ht="15" customHeight="1">
      <c r="A20" s="3" t="s">
        <v>16</v>
      </c>
      <c r="B20" s="61">
        <v>4104000</v>
      </c>
      <c r="C20" s="61">
        <v>23000</v>
      </c>
      <c r="D20" s="61">
        <v>1172000</v>
      </c>
      <c r="E20" s="61" t="e">
        <f t="shared" si="3"/>
        <v>#REF!</v>
      </c>
      <c r="F20" s="98"/>
      <c r="G20" s="61">
        <v>4259000</v>
      </c>
      <c r="H20" s="61" t="e">
        <f>'Attach E-SUG'!#REF!</f>
        <v>#REF!</v>
      </c>
      <c r="I20" s="63" t="e">
        <f t="shared" si="4"/>
        <v>#REF!</v>
      </c>
      <c r="J20" s="109"/>
      <c r="K20" s="61">
        <f>'Attach D-Enroll + Tuition&amp;Fees'!L20</f>
        <v>1740000</v>
      </c>
      <c r="L20" s="61">
        <f>'Attach D-Enroll + Tuition&amp;Fees'!M20</f>
        <v>8649000</v>
      </c>
      <c r="M20" s="61">
        <v>368000</v>
      </c>
      <c r="N20" s="61" t="e">
        <f t="shared" si="5"/>
        <v>#REF!</v>
      </c>
      <c r="O20" s="63" t="e">
        <f t="shared" si="6"/>
        <v>#REF!</v>
      </c>
      <c r="P20" s="167" t="e">
        <f>N20-'Attach C-ExpenditureAdjustments'!K20</f>
        <v>#REF!</v>
      </c>
      <c r="R20" s="3">
        <v>200801900</v>
      </c>
      <c r="S20" s="108">
        <f t="shared" si="7"/>
        <v>5.0708339557546347E-2</v>
      </c>
      <c r="V20" s="3" t="e">
        <f t="shared" si="8"/>
        <v>#REF!</v>
      </c>
    </row>
    <row r="21" spans="1:22" ht="15" customHeight="1">
      <c r="A21" s="8" t="s">
        <v>17</v>
      </c>
      <c r="B21" s="43">
        <v>4680000</v>
      </c>
      <c r="C21" s="43">
        <v>323000</v>
      </c>
      <c r="D21" s="43">
        <v>1227000</v>
      </c>
      <c r="E21" s="43" t="e">
        <f>ROUND(S21*$E$39,-3)</f>
        <v>#REF!</v>
      </c>
      <c r="F21" s="99"/>
      <c r="G21" s="43"/>
      <c r="H21" s="43" t="e">
        <f>'Attach E-SUG'!#REF!</f>
        <v>#REF!</v>
      </c>
      <c r="I21" s="49" t="e">
        <f t="shared" si="4"/>
        <v>#REF!</v>
      </c>
      <c r="J21" s="109"/>
      <c r="K21" s="43"/>
      <c r="L21" s="43">
        <f>'Attach D-Enroll + Tuition&amp;Fees'!M21</f>
        <v>9881000</v>
      </c>
      <c r="M21" s="43">
        <v>361000</v>
      </c>
      <c r="N21" s="43" t="e">
        <f t="shared" si="5"/>
        <v>#REF!</v>
      </c>
      <c r="O21" s="49" t="e">
        <f t="shared" si="6"/>
        <v>#REF!</v>
      </c>
      <c r="P21" s="167" t="e">
        <f>N21-'Attach C-ExpenditureAdjustments'!K21</f>
        <v>#REF!</v>
      </c>
      <c r="R21" s="3">
        <v>224184349</v>
      </c>
      <c r="S21" s="108">
        <f t="shared" si="7"/>
        <v>5.6613090277430021E-2</v>
      </c>
      <c r="V21" s="3" t="e">
        <f t="shared" si="8"/>
        <v>#REF!</v>
      </c>
    </row>
    <row r="22" spans="1:22" ht="15" customHeight="1">
      <c r="A22" s="3" t="s">
        <v>18</v>
      </c>
      <c r="B22" s="61">
        <v>3056000</v>
      </c>
      <c r="C22" s="61">
        <v>1745000</v>
      </c>
      <c r="D22" s="61">
        <v>1050000</v>
      </c>
      <c r="E22" s="61" t="e">
        <f t="shared" si="3"/>
        <v>#REF!</v>
      </c>
      <c r="F22" s="98"/>
      <c r="G22" s="61"/>
      <c r="H22" s="61" t="e">
        <f>'Attach E-SUG'!#REF!</f>
        <v>#REF!</v>
      </c>
      <c r="I22" s="63" t="e">
        <f t="shared" si="4"/>
        <v>#REF!</v>
      </c>
      <c r="J22" s="109"/>
      <c r="K22" s="61"/>
      <c r="L22" s="61">
        <f>'Attach D-Enroll + Tuition&amp;Fees'!M22</f>
        <v>6499000</v>
      </c>
      <c r="M22" s="61">
        <v>227000</v>
      </c>
      <c r="N22" s="61" t="e">
        <f t="shared" si="5"/>
        <v>#REF!</v>
      </c>
      <c r="O22" s="63" t="e">
        <f t="shared" si="6"/>
        <v>#REF!</v>
      </c>
      <c r="P22" s="167" t="e">
        <f>N22-'Attach C-ExpenditureAdjustments'!K22</f>
        <v>#REF!</v>
      </c>
      <c r="R22" s="3">
        <v>151095980</v>
      </c>
      <c r="S22" s="108">
        <f t="shared" si="7"/>
        <v>3.8156144237779778E-2</v>
      </c>
      <c r="V22" s="3" t="e">
        <f t="shared" si="8"/>
        <v>#REF!</v>
      </c>
    </row>
    <row r="23" spans="1:22" ht="15" customHeight="1">
      <c r="A23" s="8" t="s">
        <v>19</v>
      </c>
      <c r="B23" s="43">
        <v>6071000</v>
      </c>
      <c r="C23" s="43">
        <v>58000</v>
      </c>
      <c r="D23" s="43">
        <v>1233000</v>
      </c>
      <c r="E23" s="43" t="e">
        <f>ROUND(S23*$E$39,-3)</f>
        <v>#REF!</v>
      </c>
      <c r="F23" s="99"/>
      <c r="G23" s="43">
        <v>9070000</v>
      </c>
      <c r="H23" s="43" t="e">
        <f>'Attach E-SUG'!#REF!</f>
        <v>#REF!</v>
      </c>
      <c r="I23" s="49" t="e">
        <f t="shared" si="4"/>
        <v>#REF!</v>
      </c>
      <c r="J23" s="109"/>
      <c r="K23" s="43">
        <f>'Attach D-Enroll + Tuition&amp;Fees'!L23</f>
        <v>3464000</v>
      </c>
      <c r="L23" s="43">
        <f>'Attach D-Enroll + Tuition&amp;Fees'!M23</f>
        <v>13022000</v>
      </c>
      <c r="M23" s="43">
        <v>3470000</v>
      </c>
      <c r="N23" s="43" t="e">
        <f t="shared" si="5"/>
        <v>#REF!</v>
      </c>
      <c r="O23" s="49" t="e">
        <f t="shared" si="6"/>
        <v>#REF!</v>
      </c>
      <c r="P23" s="167" t="e">
        <f>N23-'Attach C-ExpenditureAdjustments'!K23</f>
        <v>#REF!</v>
      </c>
      <c r="Q23" s="153" t="e">
        <f>P23/'Attach C-ExpenditureAdjustments'!K23</f>
        <v>#REF!</v>
      </c>
      <c r="R23" s="3">
        <v>318037557</v>
      </c>
      <c r="S23" s="108">
        <f t="shared" si="7"/>
        <v>8.0313764124784179E-2</v>
      </c>
      <c r="V23" s="3" t="e">
        <f t="shared" si="8"/>
        <v>#REF!</v>
      </c>
    </row>
    <row r="24" spans="1:22" ht="15" customHeight="1">
      <c r="A24" s="3" t="s">
        <v>20</v>
      </c>
      <c r="B24" s="61">
        <v>4384000</v>
      </c>
      <c r="C24" s="61">
        <v>1382000</v>
      </c>
      <c r="D24" s="61">
        <v>1429000</v>
      </c>
      <c r="E24" s="61" t="e">
        <f t="shared" ref="E24:E28" si="9">ROUND(S24*$E$39,-3)</f>
        <v>#REF!</v>
      </c>
      <c r="F24" s="98"/>
      <c r="G24" s="61"/>
      <c r="H24" s="61" t="e">
        <f>'Attach E-SUG'!#REF!</f>
        <v>#REF!</v>
      </c>
      <c r="I24" s="63" t="e">
        <f t="shared" si="4"/>
        <v>#REF!</v>
      </c>
      <c r="J24" s="109"/>
      <c r="K24" s="61"/>
      <c r="L24" s="61">
        <f>'Attach D-Enroll + Tuition&amp;Fees'!M24</f>
        <v>8190000</v>
      </c>
      <c r="M24" s="61">
        <v>776000</v>
      </c>
      <c r="N24" s="61" t="e">
        <f t="shared" si="5"/>
        <v>#REF!</v>
      </c>
      <c r="O24" s="63" t="e">
        <f t="shared" si="6"/>
        <v>#REF!</v>
      </c>
      <c r="P24" s="167" t="e">
        <f>N24-'Attach C-ExpenditureAdjustments'!K24</f>
        <v>#REF!</v>
      </c>
      <c r="R24" s="3">
        <v>230775742</v>
      </c>
      <c r="S24" s="108">
        <f t="shared" si="7"/>
        <v>5.8277609360173933E-2</v>
      </c>
      <c r="V24" s="3" t="e">
        <f t="shared" si="8"/>
        <v>#REF!</v>
      </c>
    </row>
    <row r="25" spans="1:22" ht="15" customHeight="1">
      <c r="A25" s="8" t="s">
        <v>21</v>
      </c>
      <c r="B25" s="43">
        <v>5018000</v>
      </c>
      <c r="C25" s="43"/>
      <c r="D25" s="43">
        <v>1340000</v>
      </c>
      <c r="E25" s="43" t="e">
        <f t="shared" si="9"/>
        <v>#REF!</v>
      </c>
      <c r="F25" s="99"/>
      <c r="G25" s="43">
        <v>1152000</v>
      </c>
      <c r="H25" s="43" t="e">
        <f>'Attach E-SUG'!#REF!</f>
        <v>#REF!</v>
      </c>
      <c r="I25" s="49" t="e">
        <f t="shared" si="4"/>
        <v>#REF!</v>
      </c>
      <c r="J25" s="109"/>
      <c r="K25" s="43">
        <f>'Attach D-Enroll + Tuition&amp;Fees'!L25</f>
        <v>489000</v>
      </c>
      <c r="L25" s="43">
        <f>'Attach D-Enroll + Tuition&amp;Fees'!M25</f>
        <v>10596000</v>
      </c>
      <c r="M25" s="43">
        <v>1378000</v>
      </c>
      <c r="N25" s="43" t="e">
        <f t="shared" si="5"/>
        <v>#REF!</v>
      </c>
      <c r="O25" s="49" t="e">
        <f t="shared" si="6"/>
        <v>#REF!</v>
      </c>
      <c r="P25" s="167" t="e">
        <f>N25-'Attach C-ExpenditureAdjustments'!K25</f>
        <v>#REF!</v>
      </c>
      <c r="R25" s="3">
        <v>270435701</v>
      </c>
      <c r="S25" s="108">
        <f t="shared" si="7"/>
        <v>6.8292906365881381E-2</v>
      </c>
      <c r="V25" s="3" t="e">
        <f t="shared" si="8"/>
        <v>#REF!</v>
      </c>
    </row>
    <row r="26" spans="1:22" ht="15" customHeight="1">
      <c r="A26" s="3" t="s">
        <v>22</v>
      </c>
      <c r="B26" s="61">
        <v>4560000</v>
      </c>
      <c r="C26" s="61">
        <v>1104000</v>
      </c>
      <c r="D26" s="61">
        <v>1331000</v>
      </c>
      <c r="E26" s="61" t="e">
        <f t="shared" si="9"/>
        <v>#REF!</v>
      </c>
      <c r="F26" s="98"/>
      <c r="G26" s="61"/>
      <c r="H26" s="61" t="e">
        <f>'Attach E-SUG'!#REF!</f>
        <v>#REF!</v>
      </c>
      <c r="I26" s="63" t="e">
        <f t="shared" si="4"/>
        <v>#REF!</v>
      </c>
      <c r="J26" s="109"/>
      <c r="K26" s="61"/>
      <c r="L26" s="61">
        <f>'Attach D-Enroll + Tuition&amp;Fees'!M26</f>
        <v>7877000</v>
      </c>
      <c r="M26" s="61">
        <v>2437000</v>
      </c>
      <c r="N26" s="61" t="e">
        <f t="shared" si="5"/>
        <v>#REF!</v>
      </c>
      <c r="O26" s="63" t="e">
        <f t="shared" si="6"/>
        <v>#REF!</v>
      </c>
      <c r="P26" s="167" t="e">
        <f>N26-'Attach C-ExpenditureAdjustments'!K26</f>
        <v>#REF!</v>
      </c>
      <c r="R26" s="3">
        <v>237275314</v>
      </c>
      <c r="S26" s="108">
        <f t="shared" si="7"/>
        <v>5.9918940960894444E-2</v>
      </c>
      <c r="V26" s="3" t="e">
        <f t="shared" si="8"/>
        <v>#REF!</v>
      </c>
    </row>
    <row r="27" spans="1:22" ht="15" customHeight="1">
      <c r="A27" s="8" t="s">
        <v>23</v>
      </c>
      <c r="B27" s="43">
        <v>2369000</v>
      </c>
      <c r="C27" s="43"/>
      <c r="D27" s="43">
        <v>569000</v>
      </c>
      <c r="E27" s="43" t="e">
        <f t="shared" si="9"/>
        <v>#REF!</v>
      </c>
      <c r="F27" s="99"/>
      <c r="G27" s="43">
        <v>11436000</v>
      </c>
      <c r="H27" s="43" t="e">
        <f>'Attach E-SUG'!#REF!</f>
        <v>#REF!</v>
      </c>
      <c r="I27" s="49" t="e">
        <f t="shared" si="4"/>
        <v>#REF!</v>
      </c>
      <c r="J27" s="109"/>
      <c r="K27" s="43">
        <f>'Attach D-Enroll + Tuition&amp;Fees'!L27</f>
        <v>4619000</v>
      </c>
      <c r="L27" s="43">
        <f>'Attach D-Enroll + Tuition&amp;Fees'!M27</f>
        <v>4814000</v>
      </c>
      <c r="M27" s="43">
        <v>117000</v>
      </c>
      <c r="N27" s="43" t="e">
        <f t="shared" si="5"/>
        <v>#REF!</v>
      </c>
      <c r="O27" s="49" t="e">
        <f t="shared" si="6"/>
        <v>#REF!</v>
      </c>
      <c r="P27" s="167" t="e">
        <f>N27-'Attach C-ExpenditureAdjustments'!K27</f>
        <v>#REF!</v>
      </c>
      <c r="R27" s="3">
        <v>117097665</v>
      </c>
      <c r="S27" s="108">
        <f t="shared" si="7"/>
        <v>2.9570577560350825E-2</v>
      </c>
      <c r="V27" s="3" t="e">
        <f t="shared" si="8"/>
        <v>#REF!</v>
      </c>
    </row>
    <row r="28" spans="1:22" ht="15" customHeight="1">
      <c r="A28" s="3" t="s">
        <v>24</v>
      </c>
      <c r="B28" s="61">
        <v>1634000</v>
      </c>
      <c r="C28" s="61"/>
      <c r="D28" s="61">
        <v>523000</v>
      </c>
      <c r="E28" s="61" t="e">
        <f t="shared" si="9"/>
        <v>#REF!</v>
      </c>
      <c r="F28" s="98"/>
      <c r="G28" s="61"/>
      <c r="H28" s="61" t="e">
        <f>'Attach E-SUG'!#REF!</f>
        <v>#REF!</v>
      </c>
      <c r="I28" s="63" t="e">
        <f t="shared" si="4"/>
        <v>#REF!</v>
      </c>
      <c r="J28" s="109"/>
      <c r="K28" s="61"/>
      <c r="L28" s="61">
        <f>'Attach D-Enroll + Tuition&amp;Fees'!M28</f>
        <v>1892000</v>
      </c>
      <c r="M28" s="61">
        <v>39000</v>
      </c>
      <c r="N28" s="61" t="e">
        <f t="shared" si="5"/>
        <v>#REF!</v>
      </c>
      <c r="O28" s="63" t="e">
        <f t="shared" si="6"/>
        <v>#REF!</v>
      </c>
      <c r="P28" s="167" t="e">
        <f>N28-'Attach C-ExpenditureAdjustments'!K28</f>
        <v>#REF!</v>
      </c>
      <c r="R28" s="3">
        <v>78836196</v>
      </c>
      <c r="S28" s="108">
        <f t="shared" si="7"/>
        <v>1.9908440090423831E-2</v>
      </c>
      <c r="V28" s="3" t="e">
        <f t="shared" si="8"/>
        <v>#REF!</v>
      </c>
    </row>
    <row r="29" spans="1:22" ht="15" customHeight="1">
      <c r="A29" s="8" t="s">
        <v>25</v>
      </c>
      <c r="B29" s="43">
        <v>1965000</v>
      </c>
      <c r="C29" s="43">
        <v>1378000</v>
      </c>
      <c r="D29" s="43">
        <v>418000</v>
      </c>
      <c r="E29" s="43" t="e">
        <f>ROUND(S29*$E$39,-3)+1000</f>
        <v>#REF!</v>
      </c>
      <c r="F29" s="99"/>
      <c r="G29" s="43"/>
      <c r="H29" s="43" t="e">
        <f>'Attach E-SUG'!#REF!</f>
        <v>#REF!</v>
      </c>
      <c r="I29" s="49" t="e">
        <f t="shared" si="4"/>
        <v>#REF!</v>
      </c>
      <c r="J29" s="109"/>
      <c r="K29" s="43"/>
      <c r="L29" s="43">
        <f>'Attach D-Enroll + Tuition&amp;Fees'!M29</f>
        <v>3352000</v>
      </c>
      <c r="M29" s="43">
        <v>24000</v>
      </c>
      <c r="N29" s="43" t="e">
        <f t="shared" si="5"/>
        <v>#REF!</v>
      </c>
      <c r="O29" s="49" t="e">
        <f t="shared" si="6"/>
        <v>#REF!</v>
      </c>
      <c r="P29" s="167" t="e">
        <f>N29-'Attach C-ExpenditureAdjustments'!K29</f>
        <v>#REF!</v>
      </c>
      <c r="R29" s="3">
        <v>92270455</v>
      </c>
      <c r="S29" s="108">
        <f t="shared" si="7"/>
        <v>2.3300982526904875E-2</v>
      </c>
      <c r="V29" s="3" t="e">
        <f t="shared" si="8"/>
        <v>#REF!</v>
      </c>
    </row>
    <row r="30" spans="1:22" ht="20.100000000000001" customHeight="1">
      <c r="A30" s="1" t="s">
        <v>26</v>
      </c>
      <c r="B30" s="105">
        <f t="shared" ref="B30:F30" si="10">SUM(B7:B29)</f>
        <v>76960000</v>
      </c>
      <c r="C30" s="105">
        <f t="shared" si="10"/>
        <v>12548000</v>
      </c>
      <c r="D30" s="105">
        <f t="shared" si="10"/>
        <v>22310000</v>
      </c>
      <c r="E30" s="105" t="e">
        <f t="shared" si="10"/>
        <v>#REF!</v>
      </c>
      <c r="F30" s="105">
        <f t="shared" si="10"/>
        <v>0</v>
      </c>
      <c r="G30" s="105">
        <f>SUM(G7:G29)</f>
        <v>54705000</v>
      </c>
      <c r="H30" s="105" t="e">
        <f t="shared" ref="H30" si="11">SUM(H7:H29)</f>
        <v>#REF!</v>
      </c>
      <c r="I30" s="64" t="e">
        <f>SUM(I7:I29)</f>
        <v>#REF!</v>
      </c>
      <c r="J30" s="109"/>
      <c r="K30" s="105">
        <f>SUM(K7:K29)</f>
        <v>22675000</v>
      </c>
      <c r="L30" s="105">
        <f>SUM(L7:L29)</f>
        <v>153848000</v>
      </c>
      <c r="M30" s="105">
        <f>SUM(M7:M29)</f>
        <v>13156000</v>
      </c>
      <c r="N30" s="105" t="e">
        <f>SUM(N7:N29)</f>
        <v>#REF!</v>
      </c>
      <c r="O30" s="64" t="e">
        <f>SUM(O7:O29)</f>
        <v>#REF!</v>
      </c>
      <c r="R30" s="105">
        <f>SUM(R7:R29)</f>
        <v>3874192521</v>
      </c>
      <c r="S30" s="108"/>
      <c r="V30" s="3" t="e">
        <f t="shared" si="8"/>
        <v>#REF!</v>
      </c>
    </row>
    <row r="31" spans="1:22" ht="20.100000000000001" customHeight="1">
      <c r="A31" s="8" t="s">
        <v>27</v>
      </c>
      <c r="B31" s="43">
        <v>1335000</v>
      </c>
      <c r="C31" s="43"/>
      <c r="D31" s="43">
        <v>325000</v>
      </c>
      <c r="E31" s="43" t="e">
        <f>ROUND(S31*$E$39,-3)</f>
        <v>#REF!</v>
      </c>
      <c r="F31" s="99"/>
      <c r="G31" s="43"/>
      <c r="H31" s="43"/>
      <c r="I31" s="111" t="e">
        <f>SUM(B31:H31)</f>
        <v>#REF!</v>
      </c>
      <c r="J31" s="109"/>
      <c r="K31" s="43"/>
      <c r="L31" s="99">
        <f>'Attach D-Enroll + Tuition&amp;Fees'!M31</f>
        <v>0</v>
      </c>
      <c r="M31" s="99"/>
      <c r="N31" s="43" t="e">
        <f t="shared" ref="N31:N35" si="12">I31-L31-K31-M31</f>
        <v>#REF!</v>
      </c>
      <c r="O31" s="111" t="e">
        <f t="shared" ref="O31:O35" si="13">SUM(K31:N31)</f>
        <v>#REF!</v>
      </c>
      <c r="P31" s="167" t="e">
        <f>N31-'Attach C-ExpenditureAdjustments'!K31</f>
        <v>#REF!</v>
      </c>
      <c r="R31" s="3">
        <v>85745859</v>
      </c>
      <c r="S31" s="108">
        <f t="shared" si="7"/>
        <v>2.1653331635933182E-2</v>
      </c>
      <c r="V31" s="3" t="e">
        <f t="shared" si="8"/>
        <v>#REF!</v>
      </c>
    </row>
    <row r="32" spans="1:22" ht="15" customHeight="1">
      <c r="A32" s="101" t="s">
        <v>28</v>
      </c>
      <c r="B32" s="61">
        <v>66000</v>
      </c>
      <c r="C32" s="61"/>
      <c r="D32" s="61"/>
      <c r="E32" s="147" t="s">
        <v>80</v>
      </c>
      <c r="F32" s="98"/>
      <c r="G32" s="147"/>
      <c r="H32" s="61"/>
      <c r="I32" s="63">
        <f>SUM(B32:H32)</f>
        <v>66000</v>
      </c>
      <c r="J32" s="109"/>
      <c r="K32" s="61"/>
      <c r="L32" s="61"/>
      <c r="M32" s="61"/>
      <c r="N32" s="61">
        <f t="shared" si="12"/>
        <v>66000</v>
      </c>
      <c r="O32" s="63">
        <f t="shared" si="13"/>
        <v>66000</v>
      </c>
      <c r="S32" s="108"/>
    </row>
    <row r="33" spans="1:19" ht="15" customHeight="1">
      <c r="A33" s="8" t="s">
        <v>29</v>
      </c>
      <c r="B33" s="43"/>
      <c r="C33" s="43"/>
      <c r="D33" s="43"/>
      <c r="E33" s="43"/>
      <c r="F33" s="99"/>
      <c r="G33" s="43"/>
      <c r="H33" s="43"/>
      <c r="I33" s="49"/>
      <c r="J33" s="109"/>
      <c r="K33" s="43"/>
      <c r="L33" s="99">
        <f>'Attach D-Enroll + Tuition&amp;Fees'!M32</f>
        <v>0</v>
      </c>
      <c r="M33" s="99"/>
      <c r="N33" s="43">
        <f t="shared" si="12"/>
        <v>0</v>
      </c>
      <c r="O33" s="49">
        <f t="shared" si="13"/>
        <v>0</v>
      </c>
      <c r="S33" s="108"/>
    </row>
    <row r="34" spans="1:19" ht="15" customHeight="1">
      <c r="A34" s="3" t="s">
        <v>30</v>
      </c>
      <c r="B34" s="61"/>
      <c r="C34" s="61"/>
      <c r="D34" s="61"/>
      <c r="E34" s="61"/>
      <c r="F34" s="98">
        <f>3000000+7900000+2250000+10000000</f>
        <v>23150000</v>
      </c>
      <c r="G34" s="61"/>
      <c r="H34" s="61"/>
      <c r="I34" s="63">
        <f>SUM(B34:H34)</f>
        <v>23150000</v>
      </c>
      <c r="J34" s="109"/>
      <c r="K34" s="61"/>
      <c r="L34" s="61"/>
      <c r="M34" s="61"/>
      <c r="N34" s="61">
        <f t="shared" si="12"/>
        <v>23150000</v>
      </c>
      <c r="O34" s="63">
        <f t="shared" si="13"/>
        <v>23150000</v>
      </c>
      <c r="S34" s="108"/>
    </row>
    <row r="35" spans="1:19" ht="15" customHeight="1">
      <c r="A35" s="8" t="s">
        <v>31</v>
      </c>
      <c r="B35" s="43"/>
      <c r="C35" s="43"/>
      <c r="D35" s="43"/>
      <c r="E35" s="43"/>
      <c r="F35" s="99"/>
      <c r="G35" s="43"/>
      <c r="H35" s="43"/>
      <c r="I35" s="49">
        <f>SUM(B35:H35)</f>
        <v>0</v>
      </c>
      <c r="J35" s="112"/>
      <c r="K35" s="43"/>
      <c r="L35" s="43"/>
      <c r="M35" s="43"/>
      <c r="N35" s="43">
        <f t="shared" si="12"/>
        <v>0</v>
      </c>
      <c r="O35" s="49">
        <f t="shared" si="13"/>
        <v>0</v>
      </c>
      <c r="S35" s="108"/>
    </row>
    <row r="36" spans="1:19" ht="20.100000000000001" customHeight="1" thickBot="1">
      <c r="A36" s="20" t="s">
        <v>32</v>
      </c>
      <c r="B36" s="106">
        <f>SUM(B30:B35)</f>
        <v>78361000</v>
      </c>
      <c r="C36" s="106">
        <f t="shared" ref="C36:I36" si="14">SUM(C30:C35)</f>
        <v>12548000</v>
      </c>
      <c r="D36" s="106">
        <f t="shared" si="14"/>
        <v>22635000</v>
      </c>
      <c r="E36" s="106" t="e">
        <f t="shared" si="14"/>
        <v>#REF!</v>
      </c>
      <c r="F36" s="106">
        <f t="shared" si="14"/>
        <v>23150000</v>
      </c>
      <c r="G36" s="106">
        <f>SUM(G30:G35)</f>
        <v>54705000</v>
      </c>
      <c r="H36" s="106" t="e">
        <f t="shared" si="14"/>
        <v>#REF!</v>
      </c>
      <c r="I36" s="102" t="e">
        <f t="shared" si="14"/>
        <v>#REF!</v>
      </c>
      <c r="J36" s="109"/>
      <c r="K36" s="106">
        <f>SUM(K30:K35)</f>
        <v>22675000</v>
      </c>
      <c r="L36" s="106">
        <f>SUM(L30:L35)</f>
        <v>153848000</v>
      </c>
      <c r="M36" s="106">
        <f>SUM(M30:M35)</f>
        <v>13156000</v>
      </c>
      <c r="N36" s="106" t="e">
        <f>SUM(N30:N35)</f>
        <v>#REF!</v>
      </c>
      <c r="O36" s="102" t="e">
        <f t="shared" ref="O36" si="15">SUM(O30:O35)</f>
        <v>#REF!</v>
      </c>
      <c r="R36" s="106">
        <f>SUM(R30:R35)</f>
        <v>3959938380</v>
      </c>
      <c r="S36" s="108">
        <f t="shared" si="7"/>
        <v>1</v>
      </c>
    </row>
    <row r="38" spans="1:19">
      <c r="D38" s="10"/>
      <c r="E38" s="148" t="e">
        <f>IF(E36-E39=0,"good","needs correction")</f>
        <v>#REF!</v>
      </c>
      <c r="F38" s="89"/>
      <c r="M38" s="87" t="s">
        <v>40</v>
      </c>
      <c r="N38" s="145">
        <v>240243000</v>
      </c>
    </row>
    <row r="39" spans="1:19">
      <c r="D39" s="154" t="s">
        <v>77</v>
      </c>
      <c r="E39" s="88" t="e">
        <f>N38-B36-C36-D36-G36-F36-H36+K36+L36+M36</f>
        <v>#REF!</v>
      </c>
      <c r="G39" s="88">
        <f>G36-K36</f>
        <v>32030000</v>
      </c>
      <c r="H39" s="146"/>
      <c r="M39" s="87"/>
      <c r="N39" s="145" t="e">
        <f>IF(N36-N38=0,"good","needs correction")</f>
        <v>#REF!</v>
      </c>
    </row>
    <row r="40" spans="1:19">
      <c r="D40" s="154"/>
      <c r="E40" s="88"/>
      <c r="G40" s="88"/>
      <c r="H40" s="154"/>
    </row>
    <row r="41" spans="1:19">
      <c r="A41" s="104" t="s">
        <v>81</v>
      </c>
      <c r="K41" s="89"/>
      <c r="L41" s="89"/>
      <c r="M41" s="89"/>
    </row>
  </sheetData>
  <mergeCells count="2">
    <mergeCell ref="B3:D3"/>
    <mergeCell ref="K3:N3"/>
  </mergeCells>
  <printOptions horizontalCentered="1"/>
  <pageMargins left="0.75" right="0.75" top="0.5" bottom="0.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0A48-D07B-46EF-A682-CB76FC47BB2B}">
  <sheetPr>
    <tabColor rgb="FFFFC000"/>
    <pageSetUpPr fitToPage="1"/>
  </sheetPr>
  <dimension ref="A1:O38"/>
  <sheetViews>
    <sheetView zoomScaleNormal="100" workbookViewId="0"/>
  </sheetViews>
  <sheetFormatPr defaultColWidth="8.85546875" defaultRowHeight="15"/>
  <cols>
    <col min="1" max="1" width="29.7109375" customWidth="1"/>
    <col min="2" max="9" width="12.28515625" customWidth="1"/>
    <col min="10" max="11" width="16.7109375" customWidth="1"/>
    <col min="12" max="12" width="17.7109375" customWidth="1"/>
    <col min="13" max="14" width="16.7109375" customWidth="1"/>
    <col min="15" max="15" width="9.42578125" style="3" bestFit="1" customWidth="1"/>
  </cols>
  <sheetData>
    <row r="1" spans="1:15" ht="18.75" customHeight="1">
      <c r="A1" s="2" t="s">
        <v>99</v>
      </c>
      <c r="B1" s="2"/>
      <c r="C1" s="2"/>
      <c r="D1" s="2"/>
      <c r="E1" s="2"/>
      <c r="F1" s="2"/>
      <c r="G1" s="2"/>
      <c r="H1" s="2"/>
      <c r="M1" s="152"/>
    </row>
    <row r="2" spans="1:15" ht="18.75" customHeight="1">
      <c r="A2" s="2" t="s">
        <v>96</v>
      </c>
      <c r="B2" s="2"/>
      <c r="C2" s="2"/>
      <c r="D2" s="2"/>
      <c r="E2" s="2"/>
      <c r="F2" s="2"/>
      <c r="G2" s="2"/>
      <c r="H2" s="2"/>
      <c r="J2" s="152"/>
    </row>
    <row r="3" spans="1:15" ht="20.100000000000001" customHeight="1">
      <c r="A3" s="2"/>
      <c r="B3" s="181" t="s">
        <v>41</v>
      </c>
      <c r="C3" s="181"/>
      <c r="D3" s="181"/>
      <c r="E3" s="181"/>
      <c r="F3" s="181"/>
      <c r="G3" s="181"/>
      <c r="H3" s="181"/>
      <c r="I3" s="181"/>
      <c r="J3" s="183" t="s">
        <v>42</v>
      </c>
      <c r="K3" s="184"/>
      <c r="L3" s="184"/>
      <c r="M3" s="184"/>
      <c r="N3" s="184"/>
      <c r="O3" s="6"/>
    </row>
    <row r="4" spans="1:15" ht="15" customHeight="1">
      <c r="A4" s="53"/>
      <c r="B4" s="4">
        <v>-1</v>
      </c>
      <c r="C4" s="4">
        <f t="shared" ref="C4" si="0">B4-1</f>
        <v>-2</v>
      </c>
      <c r="D4" s="4">
        <f t="shared" ref="D4" si="1">C4-1</f>
        <v>-3</v>
      </c>
      <c r="E4" s="4">
        <f t="shared" ref="E4" si="2">D4-1</f>
        <v>-4</v>
      </c>
      <c r="F4" s="4">
        <f t="shared" ref="F4" si="3">E4-1</f>
        <v>-5</v>
      </c>
      <c r="G4" s="4">
        <f t="shared" ref="G4:H4" si="4">F4-1</f>
        <v>-6</v>
      </c>
      <c r="H4" s="4">
        <f t="shared" si="4"/>
        <v>-7</v>
      </c>
      <c r="I4" s="4">
        <f t="shared" ref="I4:K4" si="5">H4-1</f>
        <v>-8</v>
      </c>
      <c r="J4" s="34">
        <f t="shared" si="5"/>
        <v>-9</v>
      </c>
      <c r="K4" s="4">
        <f t="shared" si="5"/>
        <v>-10</v>
      </c>
      <c r="L4" s="4">
        <f t="shared" ref="L4:N4" si="6">K4-1</f>
        <v>-11</v>
      </c>
      <c r="M4" s="4">
        <f>L4-1</f>
        <v>-12</v>
      </c>
      <c r="N4" s="4">
        <f t="shared" si="6"/>
        <v>-13</v>
      </c>
    </row>
    <row r="5" spans="1:15" ht="60" customHeight="1">
      <c r="A5" s="53"/>
      <c r="B5" s="80" t="s">
        <v>56</v>
      </c>
      <c r="C5" s="80" t="s">
        <v>71</v>
      </c>
      <c r="D5" s="80" t="s">
        <v>70</v>
      </c>
      <c r="E5" s="80" t="s">
        <v>70</v>
      </c>
      <c r="F5" s="80" t="s">
        <v>57</v>
      </c>
      <c r="G5" s="90" t="s">
        <v>58</v>
      </c>
      <c r="H5" s="81" t="s">
        <v>131</v>
      </c>
      <c r="I5" s="22" t="s">
        <v>59</v>
      </c>
      <c r="J5" s="38" t="s">
        <v>107</v>
      </c>
      <c r="K5" s="22" t="s">
        <v>60</v>
      </c>
      <c r="L5" s="22" t="s">
        <v>116</v>
      </c>
      <c r="M5" s="22" t="s">
        <v>117</v>
      </c>
      <c r="N5" s="78" t="s">
        <v>61</v>
      </c>
    </row>
    <row r="6" spans="1:15" s="55" customFormat="1" ht="24" customHeight="1">
      <c r="A6" s="54"/>
      <c r="B6" s="37"/>
      <c r="C6" s="37"/>
      <c r="D6" s="37"/>
      <c r="E6" s="37"/>
      <c r="F6" s="37"/>
      <c r="G6" s="66" t="str">
        <f>"(Sum Col. "&amp;-B4&amp;"-"&amp;-F4&amp;")"</f>
        <v>(Sum Col. 1-5)</v>
      </c>
      <c r="H6" s="67"/>
      <c r="I6" s="37" t="str">
        <f>"(Sum Col. "&amp;-G4&amp;"-"&amp;-H4&amp;")"</f>
        <v>(Sum Col. 6-7)</v>
      </c>
      <c r="J6" s="186" t="s">
        <v>62</v>
      </c>
      <c r="K6" s="187"/>
      <c r="L6" s="86"/>
      <c r="M6" s="170"/>
      <c r="N6" s="66" t="str">
        <f>"(Sum Col. "&amp;-J4&amp;"-"&amp;-M4&amp;")"</f>
        <v>(Sum Col. 9-12)</v>
      </c>
      <c r="O6" s="52"/>
    </row>
    <row r="7" spans="1:15" ht="20.100000000000001" customHeight="1">
      <c r="A7" s="12" t="s">
        <v>3</v>
      </c>
      <c r="B7" s="39">
        <v>8542</v>
      </c>
      <c r="C7" s="39"/>
      <c r="D7" s="39"/>
      <c r="E7" s="39"/>
      <c r="F7" s="39"/>
      <c r="G7" s="69">
        <f>SUM(B7:F7)</f>
        <v>8542</v>
      </c>
      <c r="H7" s="70">
        <v>222</v>
      </c>
      <c r="I7" s="39">
        <f>SUM(G7:H7)</f>
        <v>8764</v>
      </c>
      <c r="J7" s="62">
        <v>49716000</v>
      </c>
      <c r="K7" s="60">
        <v>8013000</v>
      </c>
      <c r="L7" s="60"/>
      <c r="M7" s="60">
        <v>3179000</v>
      </c>
      <c r="N7" s="79">
        <f t="shared" ref="N7:N29" si="7">SUM(J7:M7)</f>
        <v>60908000</v>
      </c>
    </row>
    <row r="8" spans="1:15" ht="15" customHeight="1">
      <c r="A8" s="3" t="s">
        <v>4</v>
      </c>
      <c r="B8" s="41">
        <v>6135</v>
      </c>
      <c r="C8" s="41"/>
      <c r="D8" s="41">
        <v>-184</v>
      </c>
      <c r="E8" s="41"/>
      <c r="F8" s="41"/>
      <c r="G8" s="68">
        <f t="shared" ref="G8:G29" si="8">SUM(B8:F8)</f>
        <v>5951</v>
      </c>
      <c r="H8" s="93">
        <v>73</v>
      </c>
      <c r="I8" s="41">
        <f t="shared" ref="I8:I29" si="9">SUM(G8:H8)</f>
        <v>6024</v>
      </c>
      <c r="J8" s="63">
        <v>28728000</v>
      </c>
      <c r="K8" s="61">
        <v>3432000</v>
      </c>
      <c r="L8" s="61"/>
      <c r="M8" s="61">
        <v>1789000</v>
      </c>
      <c r="N8" s="68">
        <f t="shared" si="7"/>
        <v>33949000</v>
      </c>
    </row>
    <row r="9" spans="1:15" ht="15" customHeight="1">
      <c r="A9" s="8" t="s">
        <v>5</v>
      </c>
      <c r="B9" s="39">
        <v>15560</v>
      </c>
      <c r="C9" s="39"/>
      <c r="D9" s="39">
        <v>-467</v>
      </c>
      <c r="E9" s="39"/>
      <c r="F9" s="39"/>
      <c r="G9" s="69">
        <f t="shared" si="8"/>
        <v>15093</v>
      </c>
      <c r="H9" s="70">
        <v>371</v>
      </c>
      <c r="I9" s="39">
        <f t="shared" si="9"/>
        <v>15464</v>
      </c>
      <c r="J9" s="49">
        <v>73408000</v>
      </c>
      <c r="K9" s="43">
        <v>15314000</v>
      </c>
      <c r="L9" s="43"/>
      <c r="M9" s="43">
        <v>4484000</v>
      </c>
      <c r="N9" s="69">
        <f t="shared" si="7"/>
        <v>93206000</v>
      </c>
    </row>
    <row r="10" spans="1:15" ht="15" customHeight="1">
      <c r="A10" s="3" t="s">
        <v>6</v>
      </c>
      <c r="B10" s="41">
        <v>11823</v>
      </c>
      <c r="C10" s="41">
        <v>-100</v>
      </c>
      <c r="D10" s="41"/>
      <c r="E10" s="41"/>
      <c r="F10" s="41"/>
      <c r="G10" s="68">
        <f t="shared" si="8"/>
        <v>11723</v>
      </c>
      <c r="H10" s="93">
        <v>262</v>
      </c>
      <c r="I10" s="41">
        <f t="shared" si="9"/>
        <v>11985</v>
      </c>
      <c r="J10" s="63">
        <v>82500000</v>
      </c>
      <c r="K10" s="61">
        <v>16242000</v>
      </c>
      <c r="L10" s="95"/>
      <c r="M10" s="61">
        <v>4642000</v>
      </c>
      <c r="N10" s="68">
        <f t="shared" si="7"/>
        <v>103384000</v>
      </c>
    </row>
    <row r="11" spans="1:15" ht="15" customHeight="1">
      <c r="A11" s="8" t="s">
        <v>7</v>
      </c>
      <c r="B11" s="39">
        <v>12522</v>
      </c>
      <c r="C11" s="39"/>
      <c r="D11" s="39">
        <v>-376</v>
      </c>
      <c r="E11" s="39"/>
      <c r="F11" s="39"/>
      <c r="G11" s="69">
        <f t="shared" si="8"/>
        <v>12146</v>
      </c>
      <c r="H11" s="70">
        <v>859</v>
      </c>
      <c r="I11" s="39">
        <f t="shared" si="9"/>
        <v>13005</v>
      </c>
      <c r="J11" s="49">
        <v>67585000</v>
      </c>
      <c r="K11" s="43">
        <v>20790000</v>
      </c>
      <c r="L11" s="43"/>
      <c r="M11" s="43">
        <v>4144000</v>
      </c>
      <c r="N11" s="69">
        <f t="shared" si="7"/>
        <v>92519000</v>
      </c>
    </row>
    <row r="12" spans="1:15" ht="15" customHeight="1">
      <c r="A12" s="3" t="s">
        <v>8</v>
      </c>
      <c r="B12" s="41">
        <v>20675</v>
      </c>
      <c r="C12" s="41"/>
      <c r="D12" s="41"/>
      <c r="E12" s="41"/>
      <c r="F12" s="41"/>
      <c r="G12" s="68">
        <f t="shared" si="8"/>
        <v>20675</v>
      </c>
      <c r="H12" s="93">
        <v>643</v>
      </c>
      <c r="I12" s="41">
        <f t="shared" si="9"/>
        <v>21318</v>
      </c>
      <c r="J12" s="63">
        <v>130963000</v>
      </c>
      <c r="K12" s="61">
        <v>15968000</v>
      </c>
      <c r="L12" s="61"/>
      <c r="M12" s="61">
        <v>7861000</v>
      </c>
      <c r="N12" s="68">
        <f t="shared" si="7"/>
        <v>154792000</v>
      </c>
    </row>
    <row r="13" spans="1:15" ht="15" customHeight="1">
      <c r="A13" s="8" t="s">
        <v>9</v>
      </c>
      <c r="B13" s="39">
        <v>31153</v>
      </c>
      <c r="C13" s="39"/>
      <c r="D13" s="39"/>
      <c r="E13" s="39">
        <v>750</v>
      </c>
      <c r="F13" s="43">
        <v>833</v>
      </c>
      <c r="G13" s="69">
        <f t="shared" si="8"/>
        <v>32736</v>
      </c>
      <c r="H13" s="70">
        <v>947</v>
      </c>
      <c r="I13" s="39">
        <f t="shared" si="9"/>
        <v>33683</v>
      </c>
      <c r="J13" s="49">
        <v>212572000</v>
      </c>
      <c r="K13" s="43">
        <v>46957000</v>
      </c>
      <c r="L13" s="60">
        <v>5611000</v>
      </c>
      <c r="M13" s="43">
        <v>13937000</v>
      </c>
      <c r="N13" s="69">
        <f t="shared" si="7"/>
        <v>279077000</v>
      </c>
    </row>
    <row r="14" spans="1:15" ht="15" customHeight="1">
      <c r="A14" s="3" t="s">
        <v>10</v>
      </c>
      <c r="B14" s="41">
        <v>7603</v>
      </c>
      <c r="C14" s="41"/>
      <c r="D14" s="41">
        <v>-228</v>
      </c>
      <c r="E14" s="41"/>
      <c r="F14" s="41"/>
      <c r="G14" s="68">
        <f t="shared" si="8"/>
        <v>7375</v>
      </c>
      <c r="H14" s="93">
        <v>315</v>
      </c>
      <c r="I14" s="41">
        <f t="shared" si="9"/>
        <v>7690</v>
      </c>
      <c r="J14" s="63">
        <v>33094000</v>
      </c>
      <c r="K14" s="61">
        <v>7890000</v>
      </c>
      <c r="L14" s="61"/>
      <c r="M14" s="61">
        <v>2084000</v>
      </c>
      <c r="N14" s="68">
        <f t="shared" si="7"/>
        <v>43068000</v>
      </c>
    </row>
    <row r="15" spans="1:15" ht="15" customHeight="1">
      <c r="A15" s="8" t="s">
        <v>11</v>
      </c>
      <c r="B15" s="39">
        <v>31092</v>
      </c>
      <c r="C15" s="39"/>
      <c r="D15" s="39"/>
      <c r="E15" s="39">
        <v>500</v>
      </c>
      <c r="F15" s="39">
        <v>575</v>
      </c>
      <c r="G15" s="69">
        <f t="shared" si="8"/>
        <v>32167</v>
      </c>
      <c r="H15" s="70">
        <v>1300</v>
      </c>
      <c r="I15" s="39">
        <f t="shared" si="9"/>
        <v>33467</v>
      </c>
      <c r="J15" s="49">
        <v>215700000</v>
      </c>
      <c r="K15" s="43">
        <v>43953000</v>
      </c>
      <c r="L15" s="43">
        <v>3849000</v>
      </c>
      <c r="M15" s="43">
        <v>13305000</v>
      </c>
      <c r="N15" s="69">
        <f t="shared" si="7"/>
        <v>276807000</v>
      </c>
    </row>
    <row r="16" spans="1:15" ht="15" customHeight="1">
      <c r="A16" s="3" t="s">
        <v>12</v>
      </c>
      <c r="B16" s="41">
        <v>19330</v>
      </c>
      <c r="C16" s="41">
        <v>-430</v>
      </c>
      <c r="D16" s="41"/>
      <c r="E16" s="41">
        <v>325</v>
      </c>
      <c r="F16" s="41">
        <v>125</v>
      </c>
      <c r="G16" s="68">
        <f t="shared" si="8"/>
        <v>19350</v>
      </c>
      <c r="H16" s="93">
        <v>475</v>
      </c>
      <c r="I16" s="41">
        <f t="shared" si="9"/>
        <v>19825</v>
      </c>
      <c r="J16" s="63">
        <v>133354000</v>
      </c>
      <c r="K16" s="61">
        <v>24729000</v>
      </c>
      <c r="L16" s="61">
        <v>852000</v>
      </c>
      <c r="M16" s="61">
        <v>8539000</v>
      </c>
      <c r="N16" s="68">
        <f t="shared" si="7"/>
        <v>167474000</v>
      </c>
    </row>
    <row r="17" spans="1:14" ht="15" customHeight="1">
      <c r="A17" s="8" t="s">
        <v>13</v>
      </c>
      <c r="B17" s="39">
        <v>1418</v>
      </c>
      <c r="C17" s="39"/>
      <c r="D17" s="39">
        <v>-43</v>
      </c>
      <c r="E17" s="39"/>
      <c r="F17" s="39"/>
      <c r="G17" s="69">
        <f t="shared" si="8"/>
        <v>1375</v>
      </c>
      <c r="H17" s="70">
        <v>24</v>
      </c>
      <c r="I17" s="39">
        <f t="shared" si="9"/>
        <v>1399</v>
      </c>
      <c r="J17" s="49">
        <v>5297000</v>
      </c>
      <c r="K17" s="43">
        <v>3507000</v>
      </c>
      <c r="L17" s="43"/>
      <c r="M17" s="43">
        <v>317000</v>
      </c>
      <c r="N17" s="69">
        <f t="shared" si="7"/>
        <v>9121000</v>
      </c>
    </row>
    <row r="18" spans="1:14" ht="15" customHeight="1">
      <c r="A18" s="109" t="s">
        <v>14</v>
      </c>
      <c r="B18" s="41">
        <v>6378</v>
      </c>
      <c r="C18" s="41"/>
      <c r="D18" s="61">
        <v>-200</v>
      </c>
      <c r="E18" s="41"/>
      <c r="F18" s="41"/>
      <c r="G18" s="68">
        <f t="shared" si="8"/>
        <v>6178</v>
      </c>
      <c r="H18" s="93">
        <v>220</v>
      </c>
      <c r="I18" s="41">
        <f t="shared" si="9"/>
        <v>6398</v>
      </c>
      <c r="J18" s="63">
        <v>36790000</v>
      </c>
      <c r="K18" s="61">
        <v>6336000</v>
      </c>
      <c r="L18" s="61"/>
      <c r="M18" s="61">
        <v>2174000</v>
      </c>
      <c r="N18" s="68">
        <f t="shared" si="7"/>
        <v>45300000</v>
      </c>
    </row>
    <row r="19" spans="1:14" ht="15" customHeight="1">
      <c r="A19" s="8" t="s">
        <v>15</v>
      </c>
      <c r="B19" s="39">
        <v>28818</v>
      </c>
      <c r="C19" s="39"/>
      <c r="D19" s="39"/>
      <c r="E19" s="39">
        <v>150</v>
      </c>
      <c r="F19" s="39">
        <v>300</v>
      </c>
      <c r="G19" s="69">
        <f t="shared" si="8"/>
        <v>29268</v>
      </c>
      <c r="H19" s="70">
        <v>1507</v>
      </c>
      <c r="I19" s="39">
        <f t="shared" si="9"/>
        <v>30775</v>
      </c>
      <c r="J19" s="49">
        <v>212122000</v>
      </c>
      <c r="K19" s="43">
        <v>34442000</v>
      </c>
      <c r="L19" s="43">
        <v>2051000</v>
      </c>
      <c r="M19" s="43">
        <v>12621000</v>
      </c>
      <c r="N19" s="69">
        <f t="shared" si="7"/>
        <v>261236000</v>
      </c>
    </row>
    <row r="20" spans="1:14" ht="15" customHeight="1">
      <c r="A20" s="3" t="s">
        <v>16</v>
      </c>
      <c r="B20" s="41">
        <v>20100</v>
      </c>
      <c r="C20" s="41">
        <v>-447</v>
      </c>
      <c r="D20" s="41"/>
      <c r="E20" s="41">
        <v>330</v>
      </c>
      <c r="F20" s="41">
        <v>270</v>
      </c>
      <c r="G20" s="68">
        <f t="shared" si="8"/>
        <v>20253</v>
      </c>
      <c r="H20" s="93">
        <v>530</v>
      </c>
      <c r="I20" s="41">
        <f t="shared" si="9"/>
        <v>20783</v>
      </c>
      <c r="J20" s="63">
        <v>128530000</v>
      </c>
      <c r="K20" s="61">
        <v>29341000</v>
      </c>
      <c r="L20" s="61">
        <v>1740000</v>
      </c>
      <c r="M20" s="61">
        <v>8649000</v>
      </c>
      <c r="N20" s="68">
        <f t="shared" si="7"/>
        <v>168260000</v>
      </c>
    </row>
    <row r="21" spans="1:14" ht="15" customHeight="1">
      <c r="A21" s="8" t="s">
        <v>17</v>
      </c>
      <c r="B21" s="39">
        <v>24797</v>
      </c>
      <c r="C21" s="39">
        <v>-426</v>
      </c>
      <c r="D21" s="39"/>
      <c r="E21" s="39"/>
      <c r="F21" s="39"/>
      <c r="G21" s="69">
        <f t="shared" si="8"/>
        <v>24371</v>
      </c>
      <c r="H21" s="70">
        <v>723</v>
      </c>
      <c r="I21" s="39">
        <f t="shared" si="9"/>
        <v>25094</v>
      </c>
      <c r="J21" s="49">
        <v>165819000</v>
      </c>
      <c r="K21" s="43">
        <v>28464000</v>
      </c>
      <c r="L21" s="43"/>
      <c r="M21" s="43">
        <v>9881000</v>
      </c>
      <c r="N21" s="69">
        <f t="shared" si="7"/>
        <v>204164000</v>
      </c>
    </row>
    <row r="22" spans="1:14" ht="15" customHeight="1">
      <c r="A22" s="3" t="s">
        <v>18</v>
      </c>
      <c r="B22" s="41">
        <v>16489</v>
      </c>
      <c r="C22" s="41"/>
      <c r="D22" s="41"/>
      <c r="E22" s="41"/>
      <c r="F22" s="41"/>
      <c r="G22" s="68">
        <f t="shared" si="8"/>
        <v>16489</v>
      </c>
      <c r="H22" s="93">
        <v>432</v>
      </c>
      <c r="I22" s="41">
        <f t="shared" si="9"/>
        <v>16921</v>
      </c>
      <c r="J22" s="63">
        <v>99333000</v>
      </c>
      <c r="K22" s="61">
        <v>18968000</v>
      </c>
      <c r="L22" s="61"/>
      <c r="M22" s="61">
        <v>6499000</v>
      </c>
      <c r="N22" s="68">
        <f t="shared" si="7"/>
        <v>124800000</v>
      </c>
    </row>
    <row r="23" spans="1:14" ht="15" customHeight="1">
      <c r="A23" s="8" t="s">
        <v>19</v>
      </c>
      <c r="B23" s="39">
        <v>29407</v>
      </c>
      <c r="C23" s="39"/>
      <c r="D23" s="39"/>
      <c r="E23" s="39">
        <v>500</v>
      </c>
      <c r="F23" s="39">
        <v>575</v>
      </c>
      <c r="G23" s="69">
        <f t="shared" si="8"/>
        <v>30482</v>
      </c>
      <c r="H23" s="70">
        <v>5290</v>
      </c>
      <c r="I23" s="39">
        <f t="shared" si="9"/>
        <v>35772</v>
      </c>
      <c r="J23" s="49">
        <v>195926000</v>
      </c>
      <c r="K23" s="43">
        <v>94816000</v>
      </c>
      <c r="L23" s="43">
        <v>3464000</v>
      </c>
      <c r="M23" s="43">
        <v>13022000</v>
      </c>
      <c r="N23" s="69">
        <f t="shared" si="7"/>
        <v>307228000</v>
      </c>
    </row>
    <row r="24" spans="1:14" ht="15" customHeight="1">
      <c r="A24" s="3" t="s">
        <v>20</v>
      </c>
      <c r="B24" s="41">
        <v>24582</v>
      </c>
      <c r="C24" s="41"/>
      <c r="D24" s="41">
        <v>-737</v>
      </c>
      <c r="E24" s="41"/>
      <c r="F24" s="41"/>
      <c r="G24" s="68">
        <f t="shared" si="8"/>
        <v>23845</v>
      </c>
      <c r="H24" s="93">
        <v>1188</v>
      </c>
      <c r="I24" s="41">
        <f t="shared" si="9"/>
        <v>25033</v>
      </c>
      <c r="J24" s="63">
        <v>142787000</v>
      </c>
      <c r="K24" s="61">
        <v>31711000</v>
      </c>
      <c r="L24" s="61"/>
      <c r="M24" s="61">
        <v>8190000</v>
      </c>
      <c r="N24" s="68">
        <f t="shared" si="7"/>
        <v>182688000</v>
      </c>
    </row>
    <row r="25" spans="1:14" ht="15" customHeight="1">
      <c r="A25" s="8" t="s">
        <v>21</v>
      </c>
      <c r="B25" s="39">
        <v>24130</v>
      </c>
      <c r="C25" s="39"/>
      <c r="D25" s="39"/>
      <c r="E25" s="39">
        <v>150</v>
      </c>
      <c r="F25" s="39">
        <v>73</v>
      </c>
      <c r="G25" s="69">
        <f t="shared" si="8"/>
        <v>24353</v>
      </c>
      <c r="H25" s="70">
        <v>2038</v>
      </c>
      <c r="I25" s="39">
        <f t="shared" si="9"/>
        <v>26391</v>
      </c>
      <c r="J25" s="49">
        <v>173778000</v>
      </c>
      <c r="K25" s="43">
        <v>64543000</v>
      </c>
      <c r="L25" s="43">
        <v>489000</v>
      </c>
      <c r="M25" s="43">
        <v>10596000</v>
      </c>
      <c r="N25" s="69">
        <f t="shared" si="7"/>
        <v>249406000</v>
      </c>
    </row>
    <row r="26" spans="1:14" ht="15" customHeight="1">
      <c r="A26" s="3" t="s">
        <v>22</v>
      </c>
      <c r="B26" s="41">
        <v>18175</v>
      </c>
      <c r="C26" s="41"/>
      <c r="D26" s="41"/>
      <c r="E26" s="41">
        <v>536</v>
      </c>
      <c r="F26" s="41"/>
      <c r="G26" s="68">
        <f t="shared" si="8"/>
        <v>18711</v>
      </c>
      <c r="H26" s="93">
        <v>3419</v>
      </c>
      <c r="I26" s="41">
        <f t="shared" si="9"/>
        <v>22130</v>
      </c>
      <c r="J26" s="63">
        <v>121451000</v>
      </c>
      <c r="K26" s="61">
        <v>146297000</v>
      </c>
      <c r="L26" s="61"/>
      <c r="M26" s="61">
        <v>7877000</v>
      </c>
      <c r="N26" s="68">
        <f t="shared" si="7"/>
        <v>275625000</v>
      </c>
    </row>
    <row r="27" spans="1:14" ht="15" customHeight="1">
      <c r="A27" s="8" t="s">
        <v>23</v>
      </c>
      <c r="B27" s="39">
        <v>10154</v>
      </c>
      <c r="C27" s="39"/>
      <c r="D27" s="39"/>
      <c r="E27" s="39">
        <v>650</v>
      </c>
      <c r="F27" s="39">
        <v>733</v>
      </c>
      <c r="G27" s="69">
        <f>SUM(B27:F27)</f>
        <v>11537</v>
      </c>
      <c r="H27" s="70">
        <v>250</v>
      </c>
      <c r="I27" s="39">
        <f t="shared" si="9"/>
        <v>11787</v>
      </c>
      <c r="J27" s="49">
        <v>66422000</v>
      </c>
      <c r="K27" s="43">
        <v>22266000</v>
      </c>
      <c r="L27" s="43">
        <v>4619000</v>
      </c>
      <c r="M27" s="43">
        <v>4814000</v>
      </c>
      <c r="N27" s="69">
        <f t="shared" si="7"/>
        <v>98121000</v>
      </c>
    </row>
    <row r="28" spans="1:14" ht="15" customHeight="1">
      <c r="A28" s="3" t="s">
        <v>24</v>
      </c>
      <c r="B28" s="41">
        <v>8429</v>
      </c>
      <c r="C28" s="41"/>
      <c r="D28" s="41">
        <v>-253</v>
      </c>
      <c r="E28" s="41"/>
      <c r="F28" s="41"/>
      <c r="G28" s="68">
        <f t="shared" si="8"/>
        <v>8176</v>
      </c>
      <c r="H28" s="93">
        <v>107</v>
      </c>
      <c r="I28" s="41">
        <f t="shared" si="9"/>
        <v>8283</v>
      </c>
      <c r="J28" s="63">
        <v>28925000</v>
      </c>
      <c r="K28" s="61">
        <v>4965000</v>
      </c>
      <c r="L28" s="61"/>
      <c r="M28" s="61">
        <v>1892000</v>
      </c>
      <c r="N28" s="68">
        <f t="shared" si="7"/>
        <v>35782000</v>
      </c>
    </row>
    <row r="29" spans="1:14" ht="15" customHeight="1">
      <c r="A29" s="8" t="s">
        <v>25</v>
      </c>
      <c r="B29" s="43">
        <v>8427</v>
      </c>
      <c r="C29" s="39"/>
      <c r="D29" s="39"/>
      <c r="E29" s="39"/>
      <c r="F29" s="39"/>
      <c r="G29" s="69">
        <f t="shared" si="8"/>
        <v>8427</v>
      </c>
      <c r="H29" s="70">
        <v>60</v>
      </c>
      <c r="I29" s="39">
        <f t="shared" si="9"/>
        <v>8487</v>
      </c>
      <c r="J29" s="49">
        <v>53279000</v>
      </c>
      <c r="K29" s="43">
        <v>7891000</v>
      </c>
      <c r="L29" s="43"/>
      <c r="M29" s="43">
        <v>3352000</v>
      </c>
      <c r="N29" s="69">
        <f t="shared" si="7"/>
        <v>64522000</v>
      </c>
    </row>
    <row r="30" spans="1:14" ht="20.100000000000001" customHeight="1">
      <c r="A30" s="7" t="s">
        <v>26</v>
      </c>
      <c r="B30" s="56">
        <f t="shared" ref="B30:N30" si="10">SUM(B7:B29)</f>
        <v>385739</v>
      </c>
      <c r="C30" s="56">
        <f t="shared" ref="C30:D30" si="11">SUM(C7:C29)</f>
        <v>-1403</v>
      </c>
      <c r="D30" s="56">
        <f t="shared" si="11"/>
        <v>-2488</v>
      </c>
      <c r="E30" s="56">
        <f t="shared" si="10"/>
        <v>3891</v>
      </c>
      <c r="F30" s="56">
        <f t="shared" ref="F30:G30" si="12">SUM(F7:F29)</f>
        <v>3484</v>
      </c>
      <c r="G30" s="91">
        <f t="shared" si="12"/>
        <v>389223</v>
      </c>
      <c r="H30" s="94">
        <f t="shared" si="10"/>
        <v>21255</v>
      </c>
      <c r="I30" s="56">
        <f t="shared" si="10"/>
        <v>410478</v>
      </c>
      <c r="J30" s="64">
        <f t="shared" si="10"/>
        <v>2458079000</v>
      </c>
      <c r="K30" s="44">
        <f t="shared" si="10"/>
        <v>696835000</v>
      </c>
      <c r="L30" s="44">
        <f t="shared" ref="L30" si="13">SUM(L7:L29)</f>
        <v>22675000</v>
      </c>
      <c r="M30" s="105">
        <f t="shared" ref="M30" si="14">SUM(M7:M29)</f>
        <v>153848000</v>
      </c>
      <c r="N30" s="71">
        <f t="shared" si="10"/>
        <v>3331437000</v>
      </c>
    </row>
    <row r="31" spans="1:14" ht="20.100000000000001" customHeight="1">
      <c r="A31" s="8" t="s">
        <v>110</v>
      </c>
      <c r="B31" s="39">
        <v>1319</v>
      </c>
      <c r="C31" s="39"/>
      <c r="D31" s="39"/>
      <c r="E31" s="39"/>
      <c r="F31" s="39"/>
      <c r="G31" s="69">
        <f t="shared" ref="G31:G32" si="15">SUM(B31:F31)</f>
        <v>1319</v>
      </c>
      <c r="H31" s="70">
        <v>33</v>
      </c>
      <c r="I31" s="39">
        <f t="shared" ref="I31:I32" si="16">SUM(G31:H31)</f>
        <v>1352</v>
      </c>
      <c r="J31" s="49">
        <v>1019000</v>
      </c>
      <c r="K31" s="39">
        <v>10255000</v>
      </c>
      <c r="L31" s="39"/>
      <c r="M31" s="158"/>
      <c r="N31" s="69">
        <f>SUM(J31:M31)</f>
        <v>11274000</v>
      </c>
    </row>
    <row r="32" spans="1:14" ht="15" customHeight="1">
      <c r="A32" s="3" t="s">
        <v>29</v>
      </c>
      <c r="B32" s="41">
        <v>56</v>
      </c>
      <c r="C32" s="41"/>
      <c r="D32" s="41"/>
      <c r="E32" s="41"/>
      <c r="F32" s="41"/>
      <c r="G32" s="68">
        <f t="shared" si="15"/>
        <v>56</v>
      </c>
      <c r="H32" s="93">
        <v>3</v>
      </c>
      <c r="I32" s="41">
        <f t="shared" si="16"/>
        <v>59</v>
      </c>
      <c r="J32" s="63">
        <v>639000</v>
      </c>
      <c r="K32" s="41"/>
      <c r="L32" s="41"/>
      <c r="M32" s="159"/>
      <c r="N32" s="68">
        <f>SUM(J32:M32)</f>
        <v>639000</v>
      </c>
    </row>
    <row r="33" spans="1:14" ht="20.100000000000001" customHeight="1" thickBot="1">
      <c r="A33" s="20" t="s">
        <v>32</v>
      </c>
      <c r="B33" s="57">
        <f t="shared" ref="B33:N33" si="17">SUM(B30:B32)</f>
        <v>387114</v>
      </c>
      <c r="C33" s="57">
        <f t="shared" ref="C33:D33" si="18">SUM(C30:C32)</f>
        <v>-1403</v>
      </c>
      <c r="D33" s="57">
        <f t="shared" si="18"/>
        <v>-2488</v>
      </c>
      <c r="E33" s="57">
        <f t="shared" si="17"/>
        <v>3891</v>
      </c>
      <c r="F33" s="57">
        <f t="shared" ref="F33:G33" si="19">SUM(F30:F32)</f>
        <v>3484</v>
      </c>
      <c r="G33" s="92">
        <f t="shared" si="19"/>
        <v>390598</v>
      </c>
      <c r="H33" s="77">
        <f t="shared" si="17"/>
        <v>21291</v>
      </c>
      <c r="I33" s="57">
        <f t="shared" si="17"/>
        <v>411889</v>
      </c>
      <c r="J33" s="102">
        <f t="shared" si="17"/>
        <v>2459737000</v>
      </c>
      <c r="K33" s="40">
        <f t="shared" si="17"/>
        <v>707090000</v>
      </c>
      <c r="L33" s="40">
        <f t="shared" ref="L33" si="20">SUM(L30:L32)</f>
        <v>22675000</v>
      </c>
      <c r="M33" s="106">
        <f t="shared" ref="M33" si="21">SUM(M30:M32)</f>
        <v>153848000</v>
      </c>
      <c r="N33" s="72">
        <f t="shared" si="17"/>
        <v>3343350000</v>
      </c>
    </row>
    <row r="34" spans="1:14" ht="15" customHeight="1">
      <c r="I34" s="3"/>
      <c r="J34" s="3"/>
      <c r="K34" s="3"/>
      <c r="L34" s="3"/>
      <c r="M34" s="3"/>
      <c r="N34" s="3"/>
    </row>
    <row r="35" spans="1:14">
      <c r="A35" s="171" t="s">
        <v>111</v>
      </c>
      <c r="B35" s="58"/>
      <c r="C35" s="58"/>
      <c r="D35" s="58"/>
      <c r="E35" s="58"/>
      <c r="F35" s="58"/>
      <c r="G35" s="58"/>
      <c r="H35" s="58"/>
      <c r="I35" s="58"/>
      <c r="J35" s="160"/>
      <c r="L35" s="88"/>
      <c r="M35" s="88"/>
      <c r="N35" s="17"/>
    </row>
    <row r="36" spans="1:14">
      <c r="A36" s="185" t="s">
        <v>43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>
      <c r="L37" s="30"/>
      <c r="M37" s="152"/>
    </row>
    <row r="38" spans="1:14">
      <c r="M38" s="164"/>
    </row>
  </sheetData>
  <mergeCells count="4">
    <mergeCell ref="B3:I3"/>
    <mergeCell ref="J3:N3"/>
    <mergeCell ref="A36:N36"/>
    <mergeCell ref="J6:K6"/>
  </mergeCells>
  <printOptions horizontalCentered="1"/>
  <pageMargins left="0.6" right="0.6" top="0.5" bottom="0.5" header="0.3" footer="0.3"/>
  <pageSetup paperSize="5" scale="77" orientation="landscape" r:id="rId1"/>
  <ignoredErrors>
    <ignoredError sqref="I30 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34"/>
  <sheetViews>
    <sheetView zoomScaleNormal="100" workbookViewId="0"/>
  </sheetViews>
  <sheetFormatPr defaultColWidth="8.85546875" defaultRowHeight="15"/>
  <cols>
    <col min="1" max="1" width="28.7109375" customWidth="1"/>
    <col min="2" max="4" width="16.42578125" customWidth="1"/>
    <col min="5" max="5" width="16.42578125" style="118" customWidth="1"/>
    <col min="6" max="6" width="10.7109375" customWidth="1"/>
    <col min="7" max="7" width="11" bestFit="1" customWidth="1"/>
  </cols>
  <sheetData>
    <row r="1" spans="1:10" ht="18.75" customHeight="1">
      <c r="A1" s="2" t="s">
        <v>101</v>
      </c>
      <c r="B1" s="2"/>
      <c r="C1" s="2"/>
      <c r="D1" s="104"/>
      <c r="E1" s="65"/>
    </row>
    <row r="2" spans="1:10" ht="18.75" customHeight="1">
      <c r="A2" s="2" t="s">
        <v>96</v>
      </c>
      <c r="B2" s="2"/>
      <c r="C2" s="2"/>
      <c r="D2" s="2"/>
      <c r="E2" s="65"/>
    </row>
    <row r="3" spans="1:10" ht="20.100000000000001" customHeight="1">
      <c r="A3" s="2"/>
      <c r="B3" s="28"/>
      <c r="C3" s="28"/>
      <c r="D3" s="28"/>
      <c r="E3" s="113"/>
    </row>
    <row r="4" spans="1:10" s="18" customFormat="1">
      <c r="A4" s="19"/>
      <c r="B4" s="4">
        <f>-1</f>
        <v>-1</v>
      </c>
      <c r="C4" s="4">
        <f>B4-1</f>
        <v>-2</v>
      </c>
      <c r="D4" s="4">
        <f t="shared" ref="D4:E4" si="0">C4-1</f>
        <v>-3</v>
      </c>
      <c r="E4" s="114">
        <f t="shared" si="0"/>
        <v>-4</v>
      </c>
    </row>
    <row r="5" spans="1:10" s="18" customFormat="1" ht="60" customHeight="1">
      <c r="A5" s="23"/>
      <c r="B5" s="21" t="s">
        <v>112</v>
      </c>
      <c r="C5" s="22" t="s">
        <v>104</v>
      </c>
      <c r="D5" s="22" t="s">
        <v>132</v>
      </c>
      <c r="E5" s="22" t="s">
        <v>113</v>
      </c>
      <c r="F5" s="161"/>
    </row>
    <row r="6" spans="1:10" s="18" customFormat="1" ht="24">
      <c r="A6" s="27"/>
      <c r="B6" s="37" t="s">
        <v>64</v>
      </c>
      <c r="C6" s="37"/>
      <c r="D6" s="86"/>
      <c r="E6" s="86" t="s">
        <v>137</v>
      </c>
    </row>
    <row r="7" spans="1:10" s="18" customFormat="1" ht="20.100000000000001" customHeight="1">
      <c r="A7" s="12" t="s">
        <v>3</v>
      </c>
      <c r="B7" s="12">
        <v>17808000</v>
      </c>
      <c r="C7" s="12">
        <f>ROUND(B7*0.95,-3)</f>
        <v>16918000</v>
      </c>
      <c r="D7" s="115">
        <v>2068000</v>
      </c>
      <c r="E7" s="115">
        <f>C7+D7</f>
        <v>18986000</v>
      </c>
      <c r="G7" s="33"/>
      <c r="H7" s="33"/>
      <c r="I7" s="33"/>
      <c r="J7" s="33"/>
    </row>
    <row r="8" spans="1:10" s="18" customFormat="1" ht="15" customHeight="1">
      <c r="A8" s="3" t="s">
        <v>4</v>
      </c>
      <c r="B8" s="3">
        <v>8477000</v>
      </c>
      <c r="C8" s="3">
        <f t="shared" ref="C8:C29" si="1">ROUND(B8*0.95,-3)</f>
        <v>8053000</v>
      </c>
      <c r="D8" s="109">
        <v>636000</v>
      </c>
      <c r="E8" s="109">
        <f t="shared" ref="E8:E29" si="2">C8+D8</f>
        <v>8689000</v>
      </c>
      <c r="G8" s="33"/>
      <c r="H8" s="33"/>
      <c r="I8" s="33"/>
      <c r="J8" s="33"/>
    </row>
    <row r="9" spans="1:10" s="18" customFormat="1" ht="15" customHeight="1">
      <c r="A9" s="8" t="s">
        <v>5</v>
      </c>
      <c r="B9" s="8">
        <v>20154000</v>
      </c>
      <c r="C9" s="8">
        <f t="shared" si="1"/>
        <v>19146000</v>
      </c>
      <c r="D9" s="112"/>
      <c r="E9" s="112">
        <f t="shared" si="2"/>
        <v>19146000</v>
      </c>
      <c r="G9" s="33"/>
      <c r="H9" s="33"/>
      <c r="I9" s="33"/>
      <c r="J9" s="33"/>
    </row>
    <row r="10" spans="1:10" s="18" customFormat="1" ht="15" customHeight="1">
      <c r="A10" s="3" t="s">
        <v>6</v>
      </c>
      <c r="B10" s="3">
        <v>33238000</v>
      </c>
      <c r="C10" s="3">
        <f t="shared" si="1"/>
        <v>31576000</v>
      </c>
      <c r="D10" s="109">
        <v>296000</v>
      </c>
      <c r="E10" s="109">
        <f t="shared" si="2"/>
        <v>31872000</v>
      </c>
      <c r="G10" s="33"/>
      <c r="H10" s="33"/>
      <c r="I10" s="33"/>
      <c r="J10" s="33"/>
    </row>
    <row r="11" spans="1:10" s="18" customFormat="1" ht="15" customHeight="1">
      <c r="A11" s="8" t="s">
        <v>7</v>
      </c>
      <c r="B11" s="8">
        <v>20098000</v>
      </c>
      <c r="C11" s="8">
        <f t="shared" si="1"/>
        <v>19093000</v>
      </c>
      <c r="D11" s="112">
        <v>1439000</v>
      </c>
      <c r="E11" s="112">
        <f t="shared" si="2"/>
        <v>20532000</v>
      </c>
      <c r="G11" s="33"/>
      <c r="H11" s="33"/>
      <c r="I11" s="33"/>
      <c r="J11" s="33"/>
    </row>
    <row r="12" spans="1:10" s="18" customFormat="1" ht="15" customHeight="1">
      <c r="A12" s="3" t="s">
        <v>8</v>
      </c>
      <c r="B12" s="3">
        <v>43519000</v>
      </c>
      <c r="C12" s="3">
        <f t="shared" si="1"/>
        <v>41343000</v>
      </c>
      <c r="D12" s="109">
        <v>4686000</v>
      </c>
      <c r="E12" s="109">
        <f t="shared" si="2"/>
        <v>46029000</v>
      </c>
      <c r="G12" s="33"/>
      <c r="H12" s="33"/>
      <c r="I12" s="33"/>
      <c r="J12" s="33"/>
    </row>
    <row r="13" spans="1:10" s="18" customFormat="1" ht="15" customHeight="1">
      <c r="A13" s="8" t="s">
        <v>9</v>
      </c>
      <c r="B13" s="8">
        <v>59715000</v>
      </c>
      <c r="C13" s="8">
        <f t="shared" si="1"/>
        <v>56729000</v>
      </c>
      <c r="D13" s="112">
        <v>6411000</v>
      </c>
      <c r="E13" s="112">
        <f t="shared" si="2"/>
        <v>63140000</v>
      </c>
      <c r="G13" s="33"/>
      <c r="H13" s="33"/>
      <c r="I13" s="33"/>
      <c r="J13" s="33"/>
    </row>
    <row r="14" spans="1:10" s="18" customFormat="1" ht="15" customHeight="1">
      <c r="A14" s="3" t="s">
        <v>10</v>
      </c>
      <c r="B14" s="3">
        <v>10606000</v>
      </c>
      <c r="C14" s="3">
        <f t="shared" si="1"/>
        <v>10076000</v>
      </c>
      <c r="D14" s="109">
        <v>1109000</v>
      </c>
      <c r="E14" s="109">
        <f t="shared" si="2"/>
        <v>11185000</v>
      </c>
      <c r="G14" s="33"/>
      <c r="H14" s="33"/>
      <c r="I14" s="33"/>
      <c r="J14" s="33"/>
    </row>
    <row r="15" spans="1:10" s="18" customFormat="1" ht="15" customHeight="1">
      <c r="A15" s="8" t="s">
        <v>11</v>
      </c>
      <c r="B15" s="8">
        <v>59523000</v>
      </c>
      <c r="C15" s="8">
        <f t="shared" si="1"/>
        <v>56547000</v>
      </c>
      <c r="D15" s="112">
        <v>5085000</v>
      </c>
      <c r="E15" s="112">
        <f t="shared" si="2"/>
        <v>61632000</v>
      </c>
      <c r="G15" s="33"/>
      <c r="H15" s="33"/>
      <c r="I15" s="33"/>
      <c r="J15" s="33"/>
    </row>
    <row r="16" spans="1:10" s="18" customFormat="1" ht="15" customHeight="1">
      <c r="A16" s="3" t="s">
        <v>12</v>
      </c>
      <c r="B16" s="3">
        <v>49154000</v>
      </c>
      <c r="C16" s="3">
        <f t="shared" si="1"/>
        <v>46696000</v>
      </c>
      <c r="D16" s="109">
        <v>5039000</v>
      </c>
      <c r="E16" s="109">
        <f t="shared" si="2"/>
        <v>51735000</v>
      </c>
      <c r="G16" s="33"/>
      <c r="H16" s="33"/>
      <c r="I16" s="33"/>
      <c r="J16" s="33"/>
    </row>
    <row r="17" spans="1:10" s="18" customFormat="1" ht="15" customHeight="1">
      <c r="A17" s="8" t="s">
        <v>13</v>
      </c>
      <c r="B17" s="8">
        <v>1225000</v>
      </c>
      <c r="C17" s="8">
        <f t="shared" si="1"/>
        <v>1164000</v>
      </c>
      <c r="D17" s="112"/>
      <c r="E17" s="112">
        <f t="shared" si="2"/>
        <v>1164000</v>
      </c>
      <c r="G17" s="33"/>
      <c r="H17" s="33"/>
      <c r="I17" s="33"/>
      <c r="J17" s="33"/>
    </row>
    <row r="18" spans="1:10" s="18" customFormat="1" ht="15" customHeight="1">
      <c r="A18" s="3" t="s">
        <v>14</v>
      </c>
      <c r="B18" s="3">
        <v>10182000</v>
      </c>
      <c r="C18" s="3">
        <f t="shared" si="1"/>
        <v>9673000</v>
      </c>
      <c r="D18" s="109">
        <v>1039000</v>
      </c>
      <c r="E18" s="109">
        <f t="shared" si="2"/>
        <v>10712000</v>
      </c>
      <c r="G18" s="33"/>
      <c r="H18" s="33"/>
      <c r="I18" s="33"/>
      <c r="J18" s="33"/>
    </row>
    <row r="19" spans="1:10" s="18" customFormat="1" ht="15" customHeight="1">
      <c r="A19" s="8" t="s">
        <v>15</v>
      </c>
      <c r="B19" s="8">
        <v>61487000</v>
      </c>
      <c r="C19" s="8">
        <f t="shared" si="1"/>
        <v>58413000</v>
      </c>
      <c r="D19" s="112">
        <v>7864000</v>
      </c>
      <c r="E19" s="112">
        <f t="shared" si="2"/>
        <v>66277000</v>
      </c>
      <c r="G19" s="33"/>
      <c r="H19" s="33"/>
      <c r="I19" s="33"/>
      <c r="J19" s="33"/>
    </row>
    <row r="20" spans="1:10" s="18" customFormat="1" ht="15" customHeight="1">
      <c r="A20" s="3" t="s">
        <v>16</v>
      </c>
      <c r="B20" s="3">
        <v>38847000</v>
      </c>
      <c r="C20" s="3">
        <f t="shared" si="1"/>
        <v>36905000</v>
      </c>
      <c r="D20" s="109">
        <v>2312000</v>
      </c>
      <c r="E20" s="109">
        <f t="shared" si="2"/>
        <v>39217000</v>
      </c>
      <c r="G20" s="33"/>
      <c r="H20" s="33"/>
      <c r="I20" s="33"/>
      <c r="J20" s="33"/>
    </row>
    <row r="21" spans="1:10" s="18" customFormat="1" ht="15" customHeight="1">
      <c r="A21" s="8" t="s">
        <v>17</v>
      </c>
      <c r="B21" s="8">
        <v>46282000</v>
      </c>
      <c r="C21" s="8">
        <f t="shared" si="1"/>
        <v>43968000</v>
      </c>
      <c r="D21" s="112">
        <v>2941000</v>
      </c>
      <c r="E21" s="112">
        <f t="shared" si="2"/>
        <v>46909000</v>
      </c>
      <c r="G21" s="33"/>
      <c r="H21" s="33"/>
      <c r="I21" s="33"/>
      <c r="J21" s="33"/>
    </row>
    <row r="22" spans="1:10" s="18" customFormat="1" ht="15" customHeight="1">
      <c r="A22" s="3" t="s">
        <v>18</v>
      </c>
      <c r="B22" s="3">
        <v>34527000</v>
      </c>
      <c r="C22" s="3">
        <f t="shared" si="1"/>
        <v>32801000</v>
      </c>
      <c r="D22" s="109">
        <v>5272000</v>
      </c>
      <c r="E22" s="109">
        <f t="shared" si="2"/>
        <v>38073000</v>
      </c>
      <c r="G22" s="33"/>
      <c r="H22" s="33"/>
      <c r="I22" s="33"/>
      <c r="J22" s="33"/>
    </row>
    <row r="23" spans="1:10" s="18" customFormat="1" ht="15" customHeight="1">
      <c r="A23" s="8" t="s">
        <v>19</v>
      </c>
      <c r="B23" s="8">
        <v>53128000</v>
      </c>
      <c r="C23" s="8">
        <f t="shared" si="1"/>
        <v>50472000</v>
      </c>
      <c r="D23" s="112"/>
      <c r="E23" s="112">
        <f t="shared" si="2"/>
        <v>50472000</v>
      </c>
      <c r="G23" s="33"/>
      <c r="H23" s="33"/>
      <c r="I23" s="33"/>
      <c r="J23" s="33"/>
    </row>
    <row r="24" spans="1:10" s="18" customFormat="1" ht="15" customHeight="1">
      <c r="A24" s="3" t="s">
        <v>20</v>
      </c>
      <c r="B24" s="3">
        <v>44505000</v>
      </c>
      <c r="C24" s="3">
        <f t="shared" si="1"/>
        <v>42280000</v>
      </c>
      <c r="D24" s="109"/>
      <c r="E24" s="109">
        <f t="shared" si="2"/>
        <v>42280000</v>
      </c>
      <c r="G24" s="33"/>
      <c r="H24" s="33"/>
      <c r="I24" s="33"/>
      <c r="J24" s="33"/>
    </row>
    <row r="25" spans="1:10" s="18" customFormat="1" ht="15" customHeight="1">
      <c r="A25" s="8" t="s">
        <v>21</v>
      </c>
      <c r="B25" s="8">
        <v>35312000</v>
      </c>
      <c r="C25" s="8">
        <f t="shared" si="1"/>
        <v>33546000</v>
      </c>
      <c r="D25" s="112">
        <v>2689000</v>
      </c>
      <c r="E25" s="112">
        <f t="shared" si="2"/>
        <v>36235000</v>
      </c>
      <c r="G25" s="33"/>
      <c r="H25" s="33"/>
      <c r="I25" s="33"/>
      <c r="J25" s="33"/>
    </row>
    <row r="26" spans="1:10" s="18" customFormat="1" ht="15" customHeight="1">
      <c r="A26" s="3" t="s">
        <v>22</v>
      </c>
      <c r="B26" s="3">
        <v>12355000</v>
      </c>
      <c r="C26" s="3">
        <f t="shared" si="1"/>
        <v>11737000</v>
      </c>
      <c r="D26" s="109">
        <v>1323000</v>
      </c>
      <c r="E26" s="109">
        <f t="shared" si="2"/>
        <v>13060000</v>
      </c>
      <c r="G26" s="33"/>
      <c r="H26" s="33"/>
      <c r="I26" s="33"/>
      <c r="J26" s="33"/>
    </row>
    <row r="27" spans="1:10" s="18" customFormat="1" ht="15" customHeight="1">
      <c r="A27" s="8" t="s">
        <v>23</v>
      </c>
      <c r="B27" s="8">
        <v>16881000</v>
      </c>
      <c r="C27" s="8">
        <f t="shared" si="1"/>
        <v>16037000</v>
      </c>
      <c r="D27" s="112">
        <v>1407000</v>
      </c>
      <c r="E27" s="112">
        <f t="shared" si="2"/>
        <v>17444000</v>
      </c>
      <c r="G27" s="33"/>
      <c r="H27" s="33"/>
      <c r="I27" s="33"/>
      <c r="J27" s="33"/>
    </row>
    <row r="28" spans="1:10" s="18" customFormat="1" ht="15" customHeight="1">
      <c r="A28" s="3" t="s">
        <v>24</v>
      </c>
      <c r="B28" s="3">
        <v>7893000</v>
      </c>
      <c r="C28" s="3">
        <f t="shared" si="1"/>
        <v>7498000</v>
      </c>
      <c r="D28" s="109"/>
      <c r="E28" s="109">
        <f t="shared" si="2"/>
        <v>7498000</v>
      </c>
      <c r="G28" s="33"/>
      <c r="H28" s="33"/>
      <c r="I28" s="33"/>
      <c r="J28" s="33"/>
    </row>
    <row r="29" spans="1:10" s="18" customFormat="1" ht="15" customHeight="1">
      <c r="A29" s="8" t="s">
        <v>25</v>
      </c>
      <c r="B29" s="8">
        <v>16034000</v>
      </c>
      <c r="C29" s="8">
        <f t="shared" si="1"/>
        <v>15232000</v>
      </c>
      <c r="D29" s="112">
        <v>1341000</v>
      </c>
      <c r="E29" s="112">
        <f t="shared" si="2"/>
        <v>16573000</v>
      </c>
      <c r="G29" s="33"/>
      <c r="H29" s="33"/>
      <c r="I29" s="33"/>
      <c r="J29" s="33"/>
    </row>
    <row r="30" spans="1:10" s="18" customFormat="1" ht="20.100000000000001" customHeight="1" thickBot="1">
      <c r="A30" s="20" t="s">
        <v>26</v>
      </c>
      <c r="B30" s="20">
        <f t="shared" ref="B30:E30" si="3">SUM(B7:B29)</f>
        <v>700950000</v>
      </c>
      <c r="C30" s="20">
        <f t="shared" si="3"/>
        <v>665903000</v>
      </c>
      <c r="D30" s="116">
        <f t="shared" si="3"/>
        <v>52957000</v>
      </c>
      <c r="E30" s="116">
        <f t="shared" si="3"/>
        <v>718860000</v>
      </c>
    </row>
    <row r="31" spans="1:10" s="18" customFormat="1" ht="18.600000000000001" customHeight="1">
      <c r="A31" s="188"/>
      <c r="B31" s="188"/>
      <c r="C31" s="188"/>
      <c r="D31" s="188"/>
      <c r="E31" s="188"/>
    </row>
    <row r="32" spans="1:10">
      <c r="A32" s="171" t="s">
        <v>134</v>
      </c>
      <c r="B32" s="31"/>
      <c r="C32" s="5"/>
      <c r="D32" s="5"/>
      <c r="E32" s="156"/>
    </row>
    <row r="33" spans="1:5">
      <c r="A33" s="171" t="s">
        <v>135</v>
      </c>
      <c r="B33" s="30"/>
      <c r="C33" s="30"/>
      <c r="D33" s="30"/>
      <c r="E33" s="117"/>
    </row>
    <row r="34" spans="1:5">
      <c r="A34" s="171"/>
      <c r="C34" s="5"/>
    </row>
  </sheetData>
  <mergeCells count="1">
    <mergeCell ref="A31:E31"/>
  </mergeCells>
  <printOptions horizontalCentered="1"/>
  <pageMargins left="0.6" right="0.6" top="0.5" bottom="0.5" header="0.3" footer="0.3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2F83-1B48-44E4-AD3B-72EE467D1F14}">
  <sheetPr>
    <tabColor rgb="FFFFC000"/>
  </sheetPr>
  <dimension ref="A1:I34"/>
  <sheetViews>
    <sheetView zoomScaleNormal="100" workbookViewId="0"/>
  </sheetViews>
  <sheetFormatPr defaultColWidth="8.85546875" defaultRowHeight="15"/>
  <cols>
    <col min="1" max="1" width="28.7109375" customWidth="1"/>
    <col min="2" max="2" width="16.42578125" customWidth="1"/>
    <col min="3" max="3" width="16.7109375" customWidth="1"/>
    <col min="4" max="4" width="16.42578125" customWidth="1"/>
    <col min="5" max="5" width="10.7109375" customWidth="1"/>
    <col min="6" max="6" width="11" bestFit="1" customWidth="1"/>
    <col min="8" max="8" width="11.42578125" bestFit="1" customWidth="1"/>
  </cols>
  <sheetData>
    <row r="1" spans="1:9" ht="18.75" customHeight="1">
      <c r="A1" s="65" t="s">
        <v>102</v>
      </c>
      <c r="B1" s="2"/>
      <c r="C1" s="2"/>
      <c r="D1" s="2"/>
    </row>
    <row r="2" spans="1:9" ht="18.75" customHeight="1">
      <c r="A2" s="2" t="s">
        <v>96</v>
      </c>
      <c r="B2" s="2"/>
      <c r="C2" s="2"/>
      <c r="D2" s="2"/>
    </row>
    <row r="3" spans="1:9" ht="20.100000000000001" customHeight="1">
      <c r="A3" s="2"/>
      <c r="B3" s="28"/>
      <c r="C3" s="104"/>
      <c r="D3" s="28"/>
    </row>
    <row r="4" spans="1:9" s="18" customFormat="1">
      <c r="A4" s="19"/>
      <c r="B4" s="4">
        <f>-1</f>
        <v>-1</v>
      </c>
      <c r="C4" s="4">
        <f t="shared" ref="C4" si="0">B4-1</f>
        <v>-2</v>
      </c>
      <c r="D4" s="4">
        <f>C4-1</f>
        <v>-3</v>
      </c>
    </row>
    <row r="5" spans="1:9" s="18" customFormat="1" ht="60" customHeight="1">
      <c r="A5" s="23"/>
      <c r="B5" s="21" t="s">
        <v>63</v>
      </c>
      <c r="C5" s="22" t="s">
        <v>133</v>
      </c>
      <c r="D5" s="22" t="s">
        <v>98</v>
      </c>
    </row>
    <row r="6" spans="1:9" s="18" customFormat="1" ht="24">
      <c r="A6" s="27"/>
      <c r="B6" s="37" t="s">
        <v>65</v>
      </c>
      <c r="C6" s="37" t="s">
        <v>136</v>
      </c>
      <c r="D6" s="37" t="s">
        <v>138</v>
      </c>
    </row>
    <row r="7" spans="1:9" s="18" customFormat="1" ht="20.100000000000001" customHeight="1">
      <c r="A7" s="12" t="s">
        <v>3</v>
      </c>
      <c r="B7" s="12">
        <v>968000</v>
      </c>
      <c r="C7" s="115">
        <v>40000</v>
      </c>
      <c r="D7" s="115">
        <f t="shared" ref="D7:D29" si="1">SUM(B7:C7)</f>
        <v>1008000</v>
      </c>
      <c r="F7" s="33"/>
      <c r="G7" s="33"/>
      <c r="H7" s="33"/>
      <c r="I7" s="33"/>
    </row>
    <row r="8" spans="1:9" s="18" customFormat="1" ht="15" customHeight="1">
      <c r="A8" s="3" t="s">
        <v>4</v>
      </c>
      <c r="B8" s="3">
        <v>695000</v>
      </c>
      <c r="C8" s="109">
        <v>12000</v>
      </c>
      <c r="D8" s="109">
        <f t="shared" si="1"/>
        <v>707000</v>
      </c>
      <c r="F8" s="33"/>
      <c r="G8" s="33"/>
      <c r="H8" s="33"/>
      <c r="I8" s="33"/>
    </row>
    <row r="9" spans="1:9" s="18" customFormat="1" ht="15" customHeight="1">
      <c r="A9" s="8" t="s">
        <v>5</v>
      </c>
      <c r="B9" s="8">
        <v>1762000</v>
      </c>
      <c r="C9" s="112">
        <v>31000</v>
      </c>
      <c r="D9" s="112">
        <f t="shared" si="1"/>
        <v>1793000</v>
      </c>
      <c r="F9" s="33"/>
      <c r="G9" s="33"/>
      <c r="H9" s="33"/>
      <c r="I9" s="33"/>
    </row>
    <row r="10" spans="1:9" s="18" customFormat="1" ht="15" customHeight="1">
      <c r="A10" s="3" t="s">
        <v>6</v>
      </c>
      <c r="B10" s="3">
        <v>1339000</v>
      </c>
      <c r="C10" s="109">
        <v>47000</v>
      </c>
      <c r="D10" s="109">
        <f t="shared" si="1"/>
        <v>1386000</v>
      </c>
      <c r="F10" s="33"/>
      <c r="G10" s="33"/>
      <c r="H10" s="33"/>
      <c r="I10" s="33"/>
    </row>
    <row r="11" spans="1:9" s="18" customFormat="1" ht="15" customHeight="1">
      <c r="A11" s="8" t="s">
        <v>7</v>
      </c>
      <c r="B11" s="8">
        <v>1418000</v>
      </c>
      <c r="C11" s="112">
        <v>24000</v>
      </c>
      <c r="D11" s="112">
        <f t="shared" si="1"/>
        <v>1442000</v>
      </c>
      <c r="F11" s="33"/>
      <c r="G11" s="33"/>
      <c r="H11" s="33"/>
      <c r="I11" s="33"/>
    </row>
    <row r="12" spans="1:9" s="18" customFormat="1" ht="15" customHeight="1">
      <c r="A12" s="3" t="s">
        <v>8</v>
      </c>
      <c r="B12" s="3">
        <v>2342000</v>
      </c>
      <c r="C12" s="109">
        <v>98000</v>
      </c>
      <c r="D12" s="109">
        <f t="shared" si="1"/>
        <v>2440000</v>
      </c>
      <c r="F12" s="33"/>
      <c r="G12" s="33"/>
      <c r="H12" s="33"/>
      <c r="I12" s="33"/>
    </row>
    <row r="13" spans="1:9" s="18" customFormat="1" ht="15" customHeight="1">
      <c r="A13" s="8" t="s">
        <v>9</v>
      </c>
      <c r="B13" s="8">
        <v>3528000</v>
      </c>
      <c r="C13" s="112">
        <v>300000</v>
      </c>
      <c r="D13" s="112">
        <f t="shared" si="1"/>
        <v>3828000</v>
      </c>
      <c r="F13" s="33"/>
      <c r="G13" s="33"/>
      <c r="H13" s="33"/>
      <c r="I13" s="33"/>
    </row>
    <row r="14" spans="1:9" s="18" customFormat="1" ht="15" customHeight="1">
      <c r="A14" s="3" t="s">
        <v>10</v>
      </c>
      <c r="B14" s="3">
        <v>861000</v>
      </c>
      <c r="C14" s="109">
        <v>15000</v>
      </c>
      <c r="D14" s="109">
        <f t="shared" si="1"/>
        <v>876000</v>
      </c>
      <c r="F14" s="33"/>
      <c r="G14" s="33"/>
      <c r="H14" s="33"/>
      <c r="I14" s="33"/>
    </row>
    <row r="15" spans="1:9" s="18" customFormat="1" ht="15" customHeight="1">
      <c r="A15" s="8" t="s">
        <v>11</v>
      </c>
      <c r="B15" s="8">
        <v>3521000</v>
      </c>
      <c r="C15" s="112">
        <v>250000</v>
      </c>
      <c r="D15" s="112">
        <f t="shared" si="1"/>
        <v>3771000</v>
      </c>
      <c r="F15" s="33"/>
      <c r="G15" s="33"/>
      <c r="H15" s="33"/>
      <c r="I15" s="33"/>
    </row>
    <row r="16" spans="1:9" s="18" customFormat="1" ht="15" customHeight="1">
      <c r="A16" s="3" t="s">
        <v>12</v>
      </c>
      <c r="B16" s="3">
        <v>2190000</v>
      </c>
      <c r="C16" s="109">
        <v>94000</v>
      </c>
      <c r="D16" s="109">
        <f t="shared" si="1"/>
        <v>2284000</v>
      </c>
      <c r="F16" s="33"/>
      <c r="G16" s="33"/>
      <c r="H16" s="33"/>
      <c r="I16" s="33"/>
    </row>
    <row r="17" spans="1:9" s="18" customFormat="1" ht="15" customHeight="1">
      <c r="A17" s="8" t="s">
        <v>13</v>
      </c>
      <c r="B17" s="8">
        <v>161000</v>
      </c>
      <c r="C17" s="112">
        <v>2000</v>
      </c>
      <c r="D17" s="112">
        <f t="shared" si="1"/>
        <v>163000</v>
      </c>
      <c r="F17" s="33"/>
      <c r="G17" s="33"/>
      <c r="H17" s="33"/>
      <c r="I17" s="33"/>
    </row>
    <row r="18" spans="1:9" s="18" customFormat="1" ht="15" customHeight="1">
      <c r="A18" s="3" t="s">
        <v>14</v>
      </c>
      <c r="B18" s="3">
        <v>722000</v>
      </c>
      <c r="C18" s="109">
        <v>12000</v>
      </c>
      <c r="D18" s="109">
        <f t="shared" si="1"/>
        <v>734000</v>
      </c>
      <c r="F18" s="33"/>
      <c r="G18" s="33"/>
      <c r="H18" s="33"/>
      <c r="I18" s="33"/>
    </row>
    <row r="19" spans="1:9" s="18" customFormat="1" ht="15" customHeight="1">
      <c r="A19" s="8" t="s">
        <v>15</v>
      </c>
      <c r="B19" s="8">
        <v>3264000</v>
      </c>
      <c r="C19" s="112">
        <v>181000</v>
      </c>
      <c r="D19" s="112">
        <f t="shared" si="1"/>
        <v>3445000</v>
      </c>
      <c r="F19" s="33"/>
      <c r="G19" s="33"/>
      <c r="H19" s="33"/>
      <c r="I19" s="33"/>
    </row>
    <row r="20" spans="1:9" s="18" customFormat="1" ht="15" customHeight="1">
      <c r="A20" s="3" t="s">
        <v>16</v>
      </c>
      <c r="B20" s="3">
        <v>2277000</v>
      </c>
      <c r="C20" s="109">
        <v>110000</v>
      </c>
      <c r="D20" s="109">
        <f t="shared" si="1"/>
        <v>2387000</v>
      </c>
      <c r="F20" s="33"/>
      <c r="G20" s="33"/>
      <c r="H20" s="33"/>
      <c r="I20" s="33"/>
    </row>
    <row r="21" spans="1:9" s="18" customFormat="1" ht="15" customHeight="1">
      <c r="A21" s="8" t="s">
        <v>17</v>
      </c>
      <c r="B21" s="8">
        <v>2809000</v>
      </c>
      <c r="C21" s="112">
        <v>78000</v>
      </c>
      <c r="D21" s="112">
        <f t="shared" si="1"/>
        <v>2887000</v>
      </c>
      <c r="F21" s="33"/>
      <c r="G21" s="33"/>
      <c r="H21" s="33"/>
      <c r="I21" s="33"/>
    </row>
    <row r="22" spans="1:9" s="18" customFormat="1" ht="15" customHeight="1">
      <c r="A22" s="3" t="s">
        <v>18</v>
      </c>
      <c r="B22" s="3">
        <v>1868000</v>
      </c>
      <c r="C22" s="109">
        <v>78000</v>
      </c>
      <c r="D22" s="109">
        <f t="shared" si="1"/>
        <v>1946000</v>
      </c>
      <c r="F22" s="33"/>
      <c r="G22" s="33"/>
      <c r="H22" s="33"/>
      <c r="I22" s="33"/>
    </row>
    <row r="23" spans="1:9" s="18" customFormat="1" ht="15" customHeight="1">
      <c r="A23" s="8" t="s">
        <v>19</v>
      </c>
      <c r="B23" s="8">
        <v>3330000</v>
      </c>
      <c r="C23" s="112">
        <v>243000</v>
      </c>
      <c r="D23" s="112">
        <f t="shared" si="1"/>
        <v>3573000</v>
      </c>
      <c r="F23" s="33"/>
      <c r="G23" s="33"/>
      <c r="H23" s="33"/>
      <c r="I23" s="33"/>
    </row>
    <row r="24" spans="1:9" s="18" customFormat="1" ht="15" customHeight="1">
      <c r="A24" s="3" t="s">
        <v>20</v>
      </c>
      <c r="B24" s="3">
        <v>2784000</v>
      </c>
      <c r="C24" s="109">
        <v>47000</v>
      </c>
      <c r="D24" s="109">
        <f t="shared" si="1"/>
        <v>2831000</v>
      </c>
      <c r="F24" s="33"/>
      <c r="G24" s="33"/>
      <c r="H24" s="33"/>
      <c r="I24" s="33"/>
    </row>
    <row r="25" spans="1:9" s="18" customFormat="1" ht="15" customHeight="1">
      <c r="A25" s="8" t="s">
        <v>21</v>
      </c>
      <c r="B25" s="8">
        <v>2733000</v>
      </c>
      <c r="C25" s="112">
        <v>137000</v>
      </c>
      <c r="D25" s="112">
        <f t="shared" si="1"/>
        <v>2870000</v>
      </c>
      <c r="F25" s="33"/>
      <c r="G25" s="33"/>
      <c r="H25" s="33"/>
      <c r="I25" s="33"/>
    </row>
    <row r="26" spans="1:9" s="18" customFormat="1" ht="15" customHeight="1">
      <c r="A26" s="3" t="s">
        <v>22</v>
      </c>
      <c r="B26" s="3">
        <v>2059000</v>
      </c>
      <c r="C26" s="109">
        <v>138000</v>
      </c>
      <c r="D26" s="109">
        <f t="shared" si="1"/>
        <v>2197000</v>
      </c>
      <c r="F26" s="33"/>
      <c r="G26" s="33"/>
      <c r="H26" s="33"/>
      <c r="I26" s="33"/>
    </row>
    <row r="27" spans="1:9" s="18" customFormat="1" ht="15" customHeight="1">
      <c r="A27" s="8" t="s">
        <v>23</v>
      </c>
      <c r="B27" s="8">
        <v>1150000</v>
      </c>
      <c r="C27" s="112">
        <v>180000</v>
      </c>
      <c r="D27" s="112">
        <f t="shared" si="1"/>
        <v>1330000</v>
      </c>
      <c r="F27" s="33"/>
      <c r="G27" s="33"/>
      <c r="H27" s="33"/>
      <c r="I27" s="33"/>
    </row>
    <row r="28" spans="1:9" s="18" customFormat="1" ht="15" customHeight="1">
      <c r="A28" s="3" t="s">
        <v>24</v>
      </c>
      <c r="B28" s="3">
        <v>955000</v>
      </c>
      <c r="C28" s="109">
        <v>16000</v>
      </c>
      <c r="D28" s="109">
        <f t="shared" si="1"/>
        <v>971000</v>
      </c>
      <c r="F28" s="33"/>
      <c r="G28" s="33"/>
      <c r="H28" s="33"/>
      <c r="I28" s="33"/>
    </row>
    <row r="29" spans="1:9" s="18" customFormat="1" ht="15" customHeight="1">
      <c r="A29" s="8" t="s">
        <v>25</v>
      </c>
      <c r="B29" s="8">
        <v>955000</v>
      </c>
      <c r="C29" s="112">
        <v>40000</v>
      </c>
      <c r="D29" s="112">
        <f t="shared" si="1"/>
        <v>995000</v>
      </c>
      <c r="F29" s="33"/>
      <c r="G29" s="33"/>
      <c r="H29" s="33"/>
      <c r="I29" s="33"/>
    </row>
    <row r="30" spans="1:9" s="18" customFormat="1" ht="20.100000000000001" customHeight="1" thickBot="1">
      <c r="A30" s="20" t="s">
        <v>26</v>
      </c>
      <c r="B30" s="20">
        <f t="shared" ref="B30:D30" si="2">SUM(B7:B29)</f>
        <v>43691000</v>
      </c>
      <c r="C30" s="116">
        <f>SUM(C7:C29)</f>
        <v>2173000</v>
      </c>
      <c r="D30" s="116">
        <f t="shared" si="2"/>
        <v>45864000</v>
      </c>
      <c r="F30" s="33"/>
      <c r="H30" s="33"/>
    </row>
    <row r="31" spans="1:9" s="18" customFormat="1" ht="18.600000000000001" customHeight="1">
      <c r="A31" s="83"/>
      <c r="B31" s="83"/>
      <c r="C31" s="83"/>
      <c r="D31" s="83"/>
    </row>
    <row r="32" spans="1:9">
      <c r="A32" s="171" t="s">
        <v>106</v>
      </c>
      <c r="B32" s="31"/>
      <c r="C32" s="5"/>
      <c r="D32" s="5"/>
    </row>
    <row r="33" spans="2:4">
      <c r="B33" s="30"/>
      <c r="C33" s="30"/>
      <c r="D33" s="30"/>
    </row>
    <row r="34" spans="2:4">
      <c r="D34" s="5"/>
    </row>
  </sheetData>
  <printOptions horizontalCentered="1"/>
  <pageMargins left="0.6" right="0.6" top="0.5" bottom="0.5" header="0.3" footer="0.3"/>
  <pageSetup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DC5-FFFB-427B-84AB-582DE597FC38}">
  <sheetPr>
    <tabColor rgb="FFFFC000"/>
  </sheetPr>
  <dimension ref="A1:D38"/>
  <sheetViews>
    <sheetView zoomScaleNormal="100" workbookViewId="0"/>
  </sheetViews>
  <sheetFormatPr defaultColWidth="8.85546875" defaultRowHeight="15"/>
  <cols>
    <col min="1" max="1" width="28.7109375" style="3" customWidth="1"/>
    <col min="2" max="4" width="15.7109375" style="3" customWidth="1"/>
    <col min="5" max="5" width="6.7109375" style="3" customWidth="1"/>
    <col min="6" max="16384" width="8.85546875" style="3"/>
  </cols>
  <sheetData>
    <row r="1" spans="1:4" ht="18.75" customHeight="1">
      <c r="A1" s="65" t="s">
        <v>103</v>
      </c>
      <c r="B1" s="6"/>
      <c r="C1" s="6"/>
    </row>
    <row r="2" spans="1:4" ht="18.75" customHeight="1">
      <c r="A2" s="2" t="s">
        <v>96</v>
      </c>
      <c r="B2" s="6"/>
      <c r="C2" s="6"/>
      <c r="D2" s="6"/>
    </row>
    <row r="3" spans="1:4" s="6" customFormat="1" ht="20.100000000000001" customHeight="1">
      <c r="B3" s="104"/>
      <c r="D3" s="155"/>
    </row>
    <row r="4" spans="1:4">
      <c r="A4" s="6"/>
      <c r="B4" s="4">
        <f>-1</f>
        <v>-1</v>
      </c>
      <c r="C4" s="149">
        <f>B4-1</f>
        <v>-2</v>
      </c>
      <c r="D4" s="149">
        <f>C4-1</f>
        <v>-3</v>
      </c>
    </row>
    <row r="5" spans="1:4" ht="60" customHeight="1">
      <c r="A5" s="9"/>
      <c r="B5" s="22" t="s">
        <v>74</v>
      </c>
      <c r="C5" s="150" t="s">
        <v>94</v>
      </c>
      <c r="D5" s="150" t="s">
        <v>75</v>
      </c>
    </row>
    <row r="6" spans="1:4" s="52" customFormat="1" ht="24" customHeight="1">
      <c r="A6" s="51"/>
      <c r="B6" s="51"/>
      <c r="C6" s="151"/>
      <c r="D6" s="151" t="s">
        <v>138</v>
      </c>
    </row>
    <row r="7" spans="1:4" ht="20.100000000000001" customHeight="1">
      <c r="A7" s="8" t="s">
        <v>3</v>
      </c>
      <c r="B7" s="42">
        <v>5878000</v>
      </c>
      <c r="C7" s="172">
        <v>-3027000</v>
      </c>
      <c r="D7" s="79">
        <f>B7+C7</f>
        <v>2851000</v>
      </c>
    </row>
    <row r="8" spans="1:4" ht="15" customHeight="1">
      <c r="A8" s="3" t="s">
        <v>4</v>
      </c>
      <c r="B8" s="41">
        <v>4783000</v>
      </c>
      <c r="C8" s="133">
        <v>-2463000</v>
      </c>
      <c r="D8" s="68">
        <f t="shared" ref="D8:D29" si="0">B8+C8</f>
        <v>2320000</v>
      </c>
    </row>
    <row r="9" spans="1:4" ht="15" customHeight="1">
      <c r="A9" s="8" t="s">
        <v>5</v>
      </c>
      <c r="B9" s="39">
        <v>9115000</v>
      </c>
      <c r="C9" s="135">
        <v>-4694000</v>
      </c>
      <c r="D9" s="69">
        <f t="shared" si="0"/>
        <v>4421000</v>
      </c>
    </row>
    <row r="10" spans="1:4" ht="15" customHeight="1">
      <c r="A10" s="3" t="s">
        <v>6</v>
      </c>
      <c r="B10" s="41">
        <v>7979000</v>
      </c>
      <c r="C10" s="133">
        <v>-4109000</v>
      </c>
      <c r="D10" s="68">
        <f t="shared" si="0"/>
        <v>3870000</v>
      </c>
    </row>
    <row r="11" spans="1:4" ht="15" customHeight="1">
      <c r="A11" s="8" t="s">
        <v>7</v>
      </c>
      <c r="B11" s="39">
        <v>7921000</v>
      </c>
      <c r="C11" s="135">
        <v>-4079000</v>
      </c>
      <c r="D11" s="69">
        <f t="shared" si="0"/>
        <v>3842000</v>
      </c>
    </row>
    <row r="12" spans="1:4" ht="15" customHeight="1">
      <c r="A12" s="3" t="s">
        <v>8</v>
      </c>
      <c r="B12" s="41">
        <v>11924000</v>
      </c>
      <c r="C12" s="133">
        <v>-6140000</v>
      </c>
      <c r="D12" s="68">
        <f t="shared" si="0"/>
        <v>5784000</v>
      </c>
    </row>
    <row r="13" spans="1:4" ht="15" customHeight="1">
      <c r="A13" s="8" t="s">
        <v>9</v>
      </c>
      <c r="B13" s="39">
        <v>17124000</v>
      </c>
      <c r="C13" s="135">
        <v>-8818000</v>
      </c>
      <c r="D13" s="69">
        <f t="shared" si="0"/>
        <v>8306000</v>
      </c>
    </row>
    <row r="14" spans="1:4" ht="15" customHeight="1">
      <c r="A14" s="3" t="s">
        <v>10</v>
      </c>
      <c r="B14" s="41">
        <v>5571000</v>
      </c>
      <c r="C14" s="133">
        <v>-2869000</v>
      </c>
      <c r="D14" s="68">
        <f t="shared" si="0"/>
        <v>2702000</v>
      </c>
    </row>
    <row r="15" spans="1:4" ht="15" customHeight="1">
      <c r="A15" s="8" t="s">
        <v>11</v>
      </c>
      <c r="B15" s="43">
        <v>19450000</v>
      </c>
      <c r="C15" s="135">
        <v>-10016000</v>
      </c>
      <c r="D15" s="135">
        <f t="shared" si="0"/>
        <v>9434000</v>
      </c>
    </row>
    <row r="16" spans="1:4" ht="15" customHeight="1">
      <c r="A16" s="3" t="s">
        <v>12</v>
      </c>
      <c r="B16" s="41">
        <v>11640000</v>
      </c>
      <c r="C16" s="133">
        <v>-5994000</v>
      </c>
      <c r="D16" s="68">
        <f t="shared" si="0"/>
        <v>5646000</v>
      </c>
    </row>
    <row r="17" spans="1:4" ht="15" customHeight="1">
      <c r="A17" s="8" t="s">
        <v>13</v>
      </c>
      <c r="B17" s="39">
        <v>1663000</v>
      </c>
      <c r="C17" s="135">
        <v>-856000</v>
      </c>
      <c r="D17" s="69">
        <f t="shared" si="0"/>
        <v>807000</v>
      </c>
    </row>
    <row r="18" spans="1:4" ht="15" customHeight="1">
      <c r="A18" s="3" t="s">
        <v>14</v>
      </c>
      <c r="B18" s="41">
        <v>5074000</v>
      </c>
      <c r="C18" s="133">
        <v>-2613000</v>
      </c>
      <c r="D18" s="68">
        <f t="shared" si="0"/>
        <v>2461000</v>
      </c>
    </row>
    <row r="19" spans="1:4" ht="15" customHeight="1">
      <c r="A19" s="8" t="s">
        <v>15</v>
      </c>
      <c r="B19" s="39">
        <v>16821000</v>
      </c>
      <c r="C19" s="135">
        <v>-8662000</v>
      </c>
      <c r="D19" s="69">
        <f t="shared" si="0"/>
        <v>8159000</v>
      </c>
    </row>
    <row r="20" spans="1:4" ht="15" customHeight="1">
      <c r="A20" s="3" t="s">
        <v>16</v>
      </c>
      <c r="B20" s="41">
        <v>12990000</v>
      </c>
      <c r="C20" s="133">
        <v>-6689000</v>
      </c>
      <c r="D20" s="68">
        <f t="shared" si="0"/>
        <v>6301000</v>
      </c>
    </row>
    <row r="21" spans="1:4" ht="15" customHeight="1">
      <c r="A21" s="8" t="s">
        <v>17</v>
      </c>
      <c r="B21" s="39">
        <v>14324000</v>
      </c>
      <c r="C21" s="135">
        <v>-7376000</v>
      </c>
      <c r="D21" s="69">
        <f t="shared" si="0"/>
        <v>6948000</v>
      </c>
    </row>
    <row r="22" spans="1:4" ht="15" customHeight="1">
      <c r="A22" s="3" t="s">
        <v>18</v>
      </c>
      <c r="B22" s="41">
        <v>9489000</v>
      </c>
      <c r="C22" s="133">
        <v>-4886000</v>
      </c>
      <c r="D22" s="68">
        <f t="shared" si="0"/>
        <v>4603000</v>
      </c>
    </row>
    <row r="23" spans="1:4" ht="15" customHeight="1">
      <c r="A23" s="8" t="s">
        <v>19</v>
      </c>
      <c r="B23" s="39">
        <v>20834000</v>
      </c>
      <c r="C23" s="135">
        <v>-10728000</v>
      </c>
      <c r="D23" s="69">
        <f t="shared" si="0"/>
        <v>10106000</v>
      </c>
    </row>
    <row r="24" spans="1:4" ht="15" customHeight="1">
      <c r="A24" s="3" t="s">
        <v>20</v>
      </c>
      <c r="B24" s="41">
        <v>14900000</v>
      </c>
      <c r="C24" s="133">
        <v>-7672000</v>
      </c>
      <c r="D24" s="68">
        <f t="shared" si="0"/>
        <v>7228000</v>
      </c>
    </row>
    <row r="25" spans="1:4" ht="15" customHeight="1">
      <c r="A25" s="8" t="s">
        <v>21</v>
      </c>
      <c r="B25" s="39">
        <v>17534000</v>
      </c>
      <c r="C25" s="135">
        <v>-9029000</v>
      </c>
      <c r="D25" s="69">
        <f t="shared" si="0"/>
        <v>8505000</v>
      </c>
    </row>
    <row r="26" spans="1:4" ht="15" customHeight="1">
      <c r="A26" s="3" t="s">
        <v>22</v>
      </c>
      <c r="B26" s="41">
        <v>15277000</v>
      </c>
      <c r="C26" s="133">
        <v>-7867000</v>
      </c>
      <c r="D26" s="68">
        <f t="shared" si="0"/>
        <v>7410000</v>
      </c>
    </row>
    <row r="27" spans="1:4" ht="15" customHeight="1">
      <c r="A27" s="8" t="s">
        <v>23</v>
      </c>
      <c r="B27" s="39">
        <v>7771000</v>
      </c>
      <c r="C27" s="135">
        <v>-4002000</v>
      </c>
      <c r="D27" s="69">
        <f t="shared" si="0"/>
        <v>3769000</v>
      </c>
    </row>
    <row r="28" spans="1:4" ht="15" customHeight="1">
      <c r="A28" s="3" t="s">
        <v>24</v>
      </c>
      <c r="B28" s="41">
        <v>5261000</v>
      </c>
      <c r="C28" s="133">
        <v>-2709000</v>
      </c>
      <c r="D28" s="68">
        <f t="shared" si="0"/>
        <v>2552000</v>
      </c>
    </row>
    <row r="29" spans="1:4" ht="15" customHeight="1">
      <c r="A29" s="8" t="s">
        <v>25</v>
      </c>
      <c r="B29" s="39">
        <v>6011000</v>
      </c>
      <c r="C29" s="135">
        <v>-3095000</v>
      </c>
      <c r="D29" s="69">
        <f t="shared" si="0"/>
        <v>2916000</v>
      </c>
    </row>
    <row r="30" spans="1:4" ht="20.100000000000001" customHeight="1">
      <c r="A30" s="1" t="s">
        <v>73</v>
      </c>
      <c r="B30" s="44">
        <f t="shared" ref="B30" si="1">SUM(B7:B29)</f>
        <v>249334000</v>
      </c>
      <c r="C30" s="139">
        <f>SUM(C7:C29)</f>
        <v>-128393000</v>
      </c>
      <c r="D30" s="71">
        <f t="shared" ref="D30" si="2">SUM(D7:D29)</f>
        <v>120941000</v>
      </c>
    </row>
    <row r="31" spans="1:4" ht="20.100000000000001" customHeight="1">
      <c r="A31" s="8" t="s">
        <v>90</v>
      </c>
      <c r="B31" s="39">
        <v>5031000</v>
      </c>
      <c r="C31" s="135">
        <v>-2591000</v>
      </c>
      <c r="D31" s="69">
        <f t="shared" ref="D31:D32" si="3">B31+C31</f>
        <v>2440000</v>
      </c>
    </row>
    <row r="32" spans="1:4" ht="15" customHeight="1">
      <c r="A32" s="109" t="s">
        <v>28</v>
      </c>
      <c r="B32" s="41">
        <v>175000</v>
      </c>
      <c r="C32" s="133">
        <v>-90000</v>
      </c>
      <c r="D32" s="68">
        <f t="shared" si="3"/>
        <v>85000</v>
      </c>
    </row>
    <row r="33" spans="1:4" ht="20.100000000000001" customHeight="1" thickBot="1">
      <c r="A33" s="20" t="s">
        <v>32</v>
      </c>
      <c r="B33" s="40">
        <f t="shared" ref="B33" si="4">SUM(B30:B32)</f>
        <v>254540000</v>
      </c>
      <c r="C33" s="142">
        <f>SUM(C30:C32)</f>
        <v>-131074000</v>
      </c>
      <c r="D33" s="72">
        <f t="shared" ref="D33" si="5">SUM(D30:D32)</f>
        <v>123466000</v>
      </c>
    </row>
    <row r="38" spans="1:4">
      <c r="B38" s="104"/>
      <c r="D38" s="165"/>
    </row>
  </sheetData>
  <printOptions horizontalCentered="1"/>
  <pageMargins left="0.6" right="0.6" top="0.5" bottom="0.5" header="0.3" footer="0.3"/>
  <pageSetup scale="83" orientation="landscape" r:id="rId1"/>
  <ignoredErrors>
    <ignoredError sqref="D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355ef0-b855-4ebb-a92a-a6c79f7573fd">
      <UserInfo>
        <DisplayName>Kitchell, Jeni</DisplayName>
        <AccountId>25</AccountId>
        <AccountType/>
      </UserInfo>
      <UserInfo>
        <DisplayName>Yip, Alice</DisplayName>
        <AccountId>17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B5B0C54-1F66-4612-B6EE-E1A9D0B53FCA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63e23dec-0131-4259-8870-876aa269c169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07129734-f986-47f7-a6cf-3f56d8ed324a"/>
  </ds:schemaRefs>
</ds:datastoreItem>
</file>

<file path=customXml/itemProps2.xml><?xml version="1.0" encoding="utf-8"?>
<ds:datastoreItem xmlns:ds="http://schemas.openxmlformats.org/officeDocument/2006/customXml" ds:itemID="{68583C3A-67E6-4BA1-8606-686808FB7069}"/>
</file>

<file path=customXml/itemProps3.xml><?xml version="1.0" encoding="utf-8"?>
<ds:datastoreItem xmlns:ds="http://schemas.openxmlformats.org/officeDocument/2006/customXml" ds:itemID="{07A969EA-7751-47FA-AECE-F08460C879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DE6552-2AEA-4F10-9326-E90B7A04E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Attach A-Summary</vt:lpstr>
      <vt:lpstr>Attach B-Rev to Expenditures</vt:lpstr>
      <vt:lpstr>Attach C-ExpenditureAdjustments</vt:lpstr>
      <vt:lpstr>Attach C-ExpenditureAdjust wNRT</vt:lpstr>
      <vt:lpstr>Attach D-Enroll + Tuition&amp;Fees</vt:lpstr>
      <vt:lpstr>Attach E-SUG</vt:lpstr>
      <vt:lpstr>Attach F-Lottery</vt:lpstr>
      <vt:lpstr>Attach G-Compensation-Reference</vt:lpstr>
      <vt:lpstr>'Attach A-Summary'!Print_Area</vt:lpstr>
      <vt:lpstr>'Attach B-Rev to Expenditures'!Print_Area</vt:lpstr>
      <vt:lpstr>'Attach C-ExpenditureAdjust wNRT'!Print_Area</vt:lpstr>
      <vt:lpstr>'Attach C-ExpenditureAdjustments'!Print_Area</vt:lpstr>
      <vt:lpstr>'Attach D-Enroll + Tuition&amp;Fees'!Print_Area</vt:lpstr>
      <vt:lpstr>'Attach E-SUG'!Print_Area</vt:lpstr>
      <vt:lpstr>'Attach F-Lottery'!Print_Area</vt:lpstr>
      <vt:lpstr>'Attach G-Compensation-Reference'!Print_Area</vt:lpstr>
    </vt:vector>
  </TitlesOfParts>
  <Manager/>
  <Company>Office of the Chancellor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Willard, Jerry</dc:creator>
  <cp:keywords/>
  <dc:description/>
  <cp:lastModifiedBy>Willard, Jerry</cp:lastModifiedBy>
  <cp:revision/>
  <cp:lastPrinted>2024-04-05T15:50:37Z</cp:lastPrinted>
  <dcterms:created xsi:type="dcterms:W3CDTF">2015-03-23T19:18:44Z</dcterms:created>
  <dcterms:modified xsi:type="dcterms:W3CDTF">2024-04-11T21:34:26Z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