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mclemson\Downloads\"/>
    </mc:Choice>
  </mc:AlternateContent>
  <xr:revisionPtr revIDLastSave="0" documentId="13_ncr:1_{8D93838B-CD8C-46A5-858D-F8B365B62BE0}" xr6:coauthVersionLast="47" xr6:coauthVersionMax="47" xr10:uidLastSave="{00000000-0000-0000-0000-000000000000}"/>
  <bookViews>
    <workbookView xWindow="33720" yWindow="-120" windowWidth="21840" windowHeight="13140" tabRatio="695" xr2:uid="{00000000-000D-0000-FFFF-FFFF00000000}"/>
  </bookViews>
  <sheets>
    <sheet name="Instructions" sheetId="21" r:id="rId1"/>
    <sheet name="Capital Worksheet" sheetId="1" r:id="rId2"/>
    <sheet name="Facilities Renewal Worksheet" sheetId="20" r:id="rId3"/>
    <sheet name="EUI" sheetId="4" r:id="rId4"/>
    <sheet name="Campus Emission Factors" sheetId="3" r:id="rId5"/>
    <sheet name="Campus CZ" sheetId="5" r:id="rId6"/>
    <sheet name="Historical Campus Emissions " sheetId="2" r:id="rId7"/>
  </sheets>
  <externalReferences>
    <externalReference r:id="rId8"/>
    <externalReference r:id="rId9"/>
  </externalReferences>
  <definedNames>
    <definedName name="_xlnm._FilterDatabase" localSheetId="3" hidden="1">EUI!$B$2:$S$92</definedName>
    <definedName name="BuildingTypes" localSheetId="0">[1]EUI!$V$3:$V$13</definedName>
    <definedName name="BuildingTypes">EUI!$V$3:$V$13</definedName>
    <definedName name="Campus" localSheetId="0">'[1]Historical Campus Emissions '!$A$4:$A$27</definedName>
    <definedName name="Campus">'Historical Campus Emissions '!$A$4:$A$27</definedName>
    <definedName name="Campus2" localSheetId="0">'[1]Historical Campus Emissions '!$A$3:$A$27</definedName>
    <definedName name="Campus2">'Historical Campus Emissions '!$A$3:$A$27</definedName>
    <definedName name="_xlnm.Print_Area" localSheetId="1">'Capital Worksheet'!$A$1:$K$34</definedName>
    <definedName name="_xlnm.Print_Area" localSheetId="2">'Facilities Renewal Worksheet'!$A$1:$H$26</definedName>
    <definedName name="_xlnm.Print_Area" localSheetId="0">Instructions!$A$1:$C$28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0" l="1"/>
  <c r="G8" i="20"/>
  <c r="J17" i="1"/>
  <c r="J16" i="1"/>
  <c r="K20" i="1"/>
  <c r="V31" i="3" l="1"/>
  <c r="W31" i="3"/>
  <c r="X31" i="3"/>
  <c r="Y31" i="3"/>
  <c r="Z31" i="3"/>
  <c r="AA31" i="3"/>
  <c r="AB31" i="3"/>
  <c r="AC31" i="3"/>
  <c r="AD31" i="3"/>
  <c r="AE31" i="3"/>
  <c r="AF31" i="3"/>
  <c r="AG31" i="3"/>
  <c r="AH31" i="3"/>
  <c r="AI31" i="3"/>
  <c r="AJ31" i="3"/>
  <c r="V32" i="3"/>
  <c r="W32" i="3"/>
  <c r="X32" i="3"/>
  <c r="Y32" i="3"/>
  <c r="Z32" i="3"/>
  <c r="AA32" i="3"/>
  <c r="AB32" i="3"/>
  <c r="AC32" i="3"/>
  <c r="AD32" i="3"/>
  <c r="AE32" i="3"/>
  <c r="AF32" i="3"/>
  <c r="AG32" i="3"/>
  <c r="AH32" i="3"/>
  <c r="AI32" i="3"/>
  <c r="AJ32" i="3"/>
  <c r="V33" i="3"/>
  <c r="W33" i="3"/>
  <c r="X33" i="3"/>
  <c r="Y33" i="3"/>
  <c r="Z33" i="3"/>
  <c r="AA33" i="3"/>
  <c r="AB33" i="3"/>
  <c r="AC33" i="3"/>
  <c r="AD33" i="3"/>
  <c r="AE33" i="3"/>
  <c r="AF33" i="3"/>
  <c r="AG33" i="3"/>
  <c r="AH33" i="3"/>
  <c r="AI33" i="3"/>
  <c r="AJ33" i="3"/>
  <c r="V34" i="3"/>
  <c r="W34" i="3"/>
  <c r="X34" i="3"/>
  <c r="Y34" i="3"/>
  <c r="Z34" i="3"/>
  <c r="AA34" i="3"/>
  <c r="AB34" i="3"/>
  <c r="AC34" i="3"/>
  <c r="AD34" i="3"/>
  <c r="AE34" i="3"/>
  <c r="AF34" i="3"/>
  <c r="AG34" i="3"/>
  <c r="AH34" i="3"/>
  <c r="AI34" i="3"/>
  <c r="AJ34" i="3"/>
  <c r="V35" i="3"/>
  <c r="W35" i="3"/>
  <c r="X35" i="3"/>
  <c r="Y35" i="3"/>
  <c r="Z35" i="3"/>
  <c r="AA35" i="3"/>
  <c r="AB35" i="3"/>
  <c r="AC35" i="3"/>
  <c r="AD35" i="3"/>
  <c r="AE35" i="3"/>
  <c r="AF35" i="3"/>
  <c r="AG35" i="3"/>
  <c r="AH35" i="3"/>
  <c r="AI35" i="3"/>
  <c r="AJ35" i="3"/>
  <c r="V36" i="3"/>
  <c r="W36" i="3"/>
  <c r="X36" i="3"/>
  <c r="Y36" i="3"/>
  <c r="Z36" i="3"/>
  <c r="AA36" i="3"/>
  <c r="AB36" i="3"/>
  <c r="AC36" i="3"/>
  <c r="AD36" i="3"/>
  <c r="AE36" i="3"/>
  <c r="AF36" i="3"/>
  <c r="AG36" i="3"/>
  <c r="AH36" i="3"/>
  <c r="AI36" i="3"/>
  <c r="AJ36" i="3"/>
  <c r="V37" i="3"/>
  <c r="W37" i="3"/>
  <c r="X37" i="3"/>
  <c r="Y37" i="3"/>
  <c r="Z37" i="3"/>
  <c r="AA37" i="3"/>
  <c r="AB37" i="3"/>
  <c r="AC37" i="3"/>
  <c r="AD37" i="3"/>
  <c r="AE37" i="3"/>
  <c r="AF37" i="3"/>
  <c r="AG37" i="3"/>
  <c r="AH37" i="3"/>
  <c r="AI37" i="3"/>
  <c r="AJ37" i="3"/>
  <c r="V38" i="3"/>
  <c r="W38" i="3"/>
  <c r="X38" i="3"/>
  <c r="Y38" i="3"/>
  <c r="Z38" i="3"/>
  <c r="AA38" i="3"/>
  <c r="AB38" i="3"/>
  <c r="AC38" i="3"/>
  <c r="AD38" i="3"/>
  <c r="AE38" i="3"/>
  <c r="AF38" i="3"/>
  <c r="AG38" i="3"/>
  <c r="AH38" i="3"/>
  <c r="AI38" i="3"/>
  <c r="AJ38" i="3"/>
  <c r="V39" i="3"/>
  <c r="W39" i="3"/>
  <c r="X39" i="3"/>
  <c r="Y39" i="3"/>
  <c r="Z39" i="3"/>
  <c r="AA39" i="3"/>
  <c r="AB39" i="3"/>
  <c r="AC39" i="3"/>
  <c r="AD39" i="3"/>
  <c r="AE39" i="3"/>
  <c r="AF39" i="3"/>
  <c r="AG39" i="3"/>
  <c r="AH39" i="3"/>
  <c r="AI39" i="3"/>
  <c r="AJ39" i="3"/>
  <c r="V40" i="3"/>
  <c r="W40" i="3"/>
  <c r="X40" i="3"/>
  <c r="Y40" i="3"/>
  <c r="Z40" i="3"/>
  <c r="AA40" i="3"/>
  <c r="AB40" i="3"/>
  <c r="AC40" i="3"/>
  <c r="AD40" i="3"/>
  <c r="AE40" i="3"/>
  <c r="AF40" i="3"/>
  <c r="AG40" i="3"/>
  <c r="AH40" i="3"/>
  <c r="AI40" i="3"/>
  <c r="AJ40" i="3"/>
  <c r="V41" i="3"/>
  <c r="W41" i="3"/>
  <c r="X41" i="3"/>
  <c r="Y41" i="3"/>
  <c r="Z41" i="3"/>
  <c r="AA41" i="3"/>
  <c r="AB41" i="3"/>
  <c r="AC41" i="3"/>
  <c r="AD41" i="3"/>
  <c r="AE41" i="3"/>
  <c r="AF41" i="3"/>
  <c r="AG41" i="3"/>
  <c r="AH41" i="3"/>
  <c r="AI41" i="3"/>
  <c r="AJ41" i="3"/>
  <c r="V42" i="3"/>
  <c r="W42" i="3"/>
  <c r="X42" i="3"/>
  <c r="Y42" i="3"/>
  <c r="Z42" i="3"/>
  <c r="AA42" i="3"/>
  <c r="AB42" i="3"/>
  <c r="AC42" i="3"/>
  <c r="AD42" i="3"/>
  <c r="AE42" i="3"/>
  <c r="AF42" i="3"/>
  <c r="AG42" i="3"/>
  <c r="AH42" i="3"/>
  <c r="AI42" i="3"/>
  <c r="AJ42" i="3"/>
  <c r="V43" i="3"/>
  <c r="W43" i="3"/>
  <c r="X43" i="3"/>
  <c r="Y43" i="3"/>
  <c r="Z43" i="3"/>
  <c r="AA43" i="3"/>
  <c r="AB43" i="3"/>
  <c r="AC43" i="3"/>
  <c r="AD43" i="3"/>
  <c r="AE43" i="3"/>
  <c r="AF43" i="3"/>
  <c r="AG43" i="3"/>
  <c r="AH43" i="3"/>
  <c r="AI43" i="3"/>
  <c r="AJ43" i="3"/>
  <c r="V44" i="3"/>
  <c r="W44" i="3"/>
  <c r="X44" i="3"/>
  <c r="Y44" i="3"/>
  <c r="Z44" i="3"/>
  <c r="AA44" i="3"/>
  <c r="AB44" i="3"/>
  <c r="AC44" i="3"/>
  <c r="AD44" i="3"/>
  <c r="AE44" i="3"/>
  <c r="AF44" i="3"/>
  <c r="AG44" i="3"/>
  <c r="AH44" i="3"/>
  <c r="AI44" i="3"/>
  <c r="AJ44" i="3"/>
  <c r="V45" i="3"/>
  <c r="W45" i="3"/>
  <c r="X45" i="3"/>
  <c r="Y45" i="3"/>
  <c r="Z45" i="3"/>
  <c r="AA45" i="3"/>
  <c r="AB45" i="3"/>
  <c r="AC45" i="3"/>
  <c r="AD45" i="3"/>
  <c r="AE45" i="3"/>
  <c r="AF45" i="3"/>
  <c r="AG45" i="3"/>
  <c r="AH45" i="3"/>
  <c r="AI45" i="3"/>
  <c r="AJ45" i="3"/>
  <c r="V46" i="3"/>
  <c r="W46" i="3"/>
  <c r="X46" i="3"/>
  <c r="Y46" i="3"/>
  <c r="Z46" i="3"/>
  <c r="AA46" i="3"/>
  <c r="AB46" i="3"/>
  <c r="AC46" i="3"/>
  <c r="AD46" i="3"/>
  <c r="AE46" i="3"/>
  <c r="AF46" i="3"/>
  <c r="AG46" i="3"/>
  <c r="AH46" i="3"/>
  <c r="AI46" i="3"/>
  <c r="AJ46" i="3"/>
  <c r="V47" i="3"/>
  <c r="W47" i="3"/>
  <c r="X47" i="3"/>
  <c r="Y47" i="3"/>
  <c r="Z47" i="3"/>
  <c r="AA47" i="3"/>
  <c r="AB47" i="3"/>
  <c r="AC47" i="3"/>
  <c r="AD47" i="3"/>
  <c r="AE47" i="3"/>
  <c r="AF47" i="3"/>
  <c r="AG47" i="3"/>
  <c r="AH47" i="3"/>
  <c r="AI47" i="3"/>
  <c r="AJ47" i="3"/>
  <c r="V48" i="3"/>
  <c r="W48" i="3"/>
  <c r="X48" i="3"/>
  <c r="Y48" i="3"/>
  <c r="Z48" i="3"/>
  <c r="AA48" i="3"/>
  <c r="AB48" i="3"/>
  <c r="AC48" i="3"/>
  <c r="AD48" i="3"/>
  <c r="AE48" i="3"/>
  <c r="AF48" i="3"/>
  <c r="AG48" i="3"/>
  <c r="AH48" i="3"/>
  <c r="AI48" i="3"/>
  <c r="AJ48" i="3"/>
  <c r="V49" i="3"/>
  <c r="W49" i="3"/>
  <c r="X49" i="3"/>
  <c r="Y49" i="3"/>
  <c r="Z49" i="3"/>
  <c r="AA49" i="3"/>
  <c r="AB49" i="3"/>
  <c r="AC49" i="3"/>
  <c r="AD49" i="3"/>
  <c r="AE49" i="3"/>
  <c r="AF49" i="3"/>
  <c r="AG49" i="3"/>
  <c r="AH49" i="3"/>
  <c r="AI49" i="3"/>
  <c r="AJ49" i="3"/>
  <c r="V50" i="3"/>
  <c r="W50" i="3"/>
  <c r="X50" i="3"/>
  <c r="Y50" i="3"/>
  <c r="Z50" i="3"/>
  <c r="AA50" i="3"/>
  <c r="AB50" i="3"/>
  <c r="AC50" i="3"/>
  <c r="AD50" i="3"/>
  <c r="AE50" i="3"/>
  <c r="AF50" i="3"/>
  <c r="AG50" i="3"/>
  <c r="AH50" i="3"/>
  <c r="AI50" i="3"/>
  <c r="AJ50" i="3"/>
  <c r="V51" i="3"/>
  <c r="W51" i="3"/>
  <c r="X51" i="3"/>
  <c r="Y51" i="3"/>
  <c r="Z51" i="3"/>
  <c r="AA51" i="3"/>
  <c r="AB51" i="3"/>
  <c r="AC51" i="3"/>
  <c r="AD51" i="3"/>
  <c r="AE51" i="3"/>
  <c r="AF51" i="3"/>
  <c r="AG51" i="3"/>
  <c r="AH51" i="3"/>
  <c r="AI51" i="3"/>
  <c r="AJ51" i="3"/>
  <c r="V52" i="3"/>
  <c r="W52" i="3"/>
  <c r="X52" i="3"/>
  <c r="Y52" i="3"/>
  <c r="Z52" i="3"/>
  <c r="AA52" i="3"/>
  <c r="AB52" i="3"/>
  <c r="AC52" i="3"/>
  <c r="AD52" i="3"/>
  <c r="AE52" i="3"/>
  <c r="AF52" i="3"/>
  <c r="AG52" i="3"/>
  <c r="AH52" i="3"/>
  <c r="AI52" i="3"/>
  <c r="AJ52" i="3"/>
  <c r="V53" i="3"/>
  <c r="W53" i="3"/>
  <c r="X53" i="3"/>
  <c r="Y53" i="3"/>
  <c r="Z53" i="3"/>
  <c r="AA53" i="3"/>
  <c r="AB53" i="3"/>
  <c r="AC53" i="3"/>
  <c r="AD53" i="3"/>
  <c r="AE53" i="3"/>
  <c r="AF53" i="3"/>
  <c r="AG53" i="3"/>
  <c r="AH53" i="3"/>
  <c r="AI53" i="3"/>
  <c r="AJ53" i="3"/>
  <c r="W30" i="3"/>
  <c r="X30" i="3"/>
  <c r="Y30" i="3"/>
  <c r="Z30" i="3"/>
  <c r="AA30" i="3"/>
  <c r="AB30" i="3"/>
  <c r="AC30" i="3"/>
  <c r="AD30" i="3"/>
  <c r="AE30" i="3"/>
  <c r="AF30" i="3"/>
  <c r="AG30" i="3"/>
  <c r="AH30" i="3"/>
  <c r="AI30" i="3"/>
  <c r="AJ30" i="3"/>
  <c r="V30" i="3"/>
  <c r="V4" i="3"/>
  <c r="W4" i="3"/>
  <c r="X4" i="3"/>
  <c r="Y4" i="3"/>
  <c r="Z4" i="3"/>
  <c r="AA4" i="3"/>
  <c r="AB4" i="3"/>
  <c r="AC4" i="3"/>
  <c r="AD4" i="3"/>
  <c r="AE4" i="3"/>
  <c r="AF4" i="3"/>
  <c r="AG4" i="3"/>
  <c r="AH4" i="3"/>
  <c r="AI4" i="3"/>
  <c r="AJ4" i="3"/>
  <c r="V5" i="3"/>
  <c r="W5" i="3"/>
  <c r="X5" i="3"/>
  <c r="Y5" i="3"/>
  <c r="Z5" i="3"/>
  <c r="AA5" i="3"/>
  <c r="AB5" i="3"/>
  <c r="AC5" i="3"/>
  <c r="AD5" i="3"/>
  <c r="AE5" i="3"/>
  <c r="AF5" i="3"/>
  <c r="AG5" i="3"/>
  <c r="AH5" i="3"/>
  <c r="AI5" i="3"/>
  <c r="AJ5" i="3"/>
  <c r="V6" i="3"/>
  <c r="W6" i="3"/>
  <c r="X6" i="3"/>
  <c r="Y6" i="3"/>
  <c r="Z6" i="3"/>
  <c r="AA6" i="3"/>
  <c r="AB6" i="3"/>
  <c r="AC6" i="3"/>
  <c r="AD6" i="3"/>
  <c r="AE6" i="3"/>
  <c r="AF6" i="3"/>
  <c r="AG6" i="3"/>
  <c r="AH6" i="3"/>
  <c r="AI6" i="3"/>
  <c r="AJ6" i="3"/>
  <c r="V7" i="3"/>
  <c r="W7" i="3"/>
  <c r="X7" i="3"/>
  <c r="Y7" i="3"/>
  <c r="Z7" i="3"/>
  <c r="AA7" i="3"/>
  <c r="AB7" i="3"/>
  <c r="AC7" i="3"/>
  <c r="AD7" i="3"/>
  <c r="AE7" i="3"/>
  <c r="AF7" i="3"/>
  <c r="AG7" i="3"/>
  <c r="AH7" i="3"/>
  <c r="AI7" i="3"/>
  <c r="AJ7" i="3"/>
  <c r="V8" i="3"/>
  <c r="W8" i="3"/>
  <c r="X8" i="3"/>
  <c r="Y8" i="3"/>
  <c r="Z8" i="3"/>
  <c r="AA8" i="3"/>
  <c r="AB8" i="3"/>
  <c r="AC8" i="3"/>
  <c r="AD8" i="3"/>
  <c r="AE8" i="3"/>
  <c r="AF8" i="3"/>
  <c r="AG8" i="3"/>
  <c r="AH8" i="3"/>
  <c r="AI8" i="3"/>
  <c r="AJ8" i="3"/>
  <c r="V9" i="3"/>
  <c r="W9" i="3"/>
  <c r="X9" i="3"/>
  <c r="Y9" i="3"/>
  <c r="Z9" i="3"/>
  <c r="AA9" i="3"/>
  <c r="AB9" i="3"/>
  <c r="AC9" i="3"/>
  <c r="AD9" i="3"/>
  <c r="AE9" i="3"/>
  <c r="AF9" i="3"/>
  <c r="AG9" i="3"/>
  <c r="AH9" i="3"/>
  <c r="AI9" i="3"/>
  <c r="AJ9" i="3"/>
  <c r="V10" i="3"/>
  <c r="W10" i="3"/>
  <c r="X10" i="3"/>
  <c r="Y10" i="3"/>
  <c r="Z10" i="3"/>
  <c r="AA10" i="3"/>
  <c r="AB10" i="3"/>
  <c r="AC10" i="3"/>
  <c r="AD10" i="3"/>
  <c r="AE10" i="3"/>
  <c r="AF10" i="3"/>
  <c r="AG10" i="3"/>
  <c r="AH10" i="3"/>
  <c r="AI10" i="3"/>
  <c r="AJ10" i="3"/>
  <c r="V11" i="3"/>
  <c r="W11" i="3"/>
  <c r="X11" i="3"/>
  <c r="Y11" i="3"/>
  <c r="Z11" i="3"/>
  <c r="AA11" i="3"/>
  <c r="AB11" i="3"/>
  <c r="AC11" i="3"/>
  <c r="AD11" i="3"/>
  <c r="AE11" i="3"/>
  <c r="AF11" i="3"/>
  <c r="AG11" i="3"/>
  <c r="AH11" i="3"/>
  <c r="AI11" i="3"/>
  <c r="AJ11" i="3"/>
  <c r="V12" i="3"/>
  <c r="W12" i="3"/>
  <c r="X12" i="3"/>
  <c r="Y12" i="3"/>
  <c r="Z12" i="3"/>
  <c r="AA12" i="3"/>
  <c r="AB12" i="3"/>
  <c r="AC12" i="3"/>
  <c r="AD12" i="3"/>
  <c r="AE12" i="3"/>
  <c r="AF12" i="3"/>
  <c r="AG12" i="3"/>
  <c r="AH12" i="3"/>
  <c r="AI12" i="3"/>
  <c r="AJ12" i="3"/>
  <c r="V13" i="3"/>
  <c r="W13" i="3"/>
  <c r="X13" i="3"/>
  <c r="Y13" i="3"/>
  <c r="Z13" i="3"/>
  <c r="AA13" i="3"/>
  <c r="AB13" i="3"/>
  <c r="AC13" i="3"/>
  <c r="AD13" i="3"/>
  <c r="AE13" i="3"/>
  <c r="AF13" i="3"/>
  <c r="AG13" i="3"/>
  <c r="AH13" i="3"/>
  <c r="AI13" i="3"/>
  <c r="AJ13" i="3"/>
  <c r="V14" i="3"/>
  <c r="W14" i="3"/>
  <c r="X14" i="3"/>
  <c r="Y14" i="3"/>
  <c r="Z14" i="3"/>
  <c r="AA14" i="3"/>
  <c r="AB14" i="3"/>
  <c r="AC14" i="3"/>
  <c r="AD14" i="3"/>
  <c r="AE14" i="3"/>
  <c r="AF14" i="3"/>
  <c r="AG14" i="3"/>
  <c r="AH14" i="3"/>
  <c r="AI14" i="3"/>
  <c r="AJ14" i="3"/>
  <c r="V15" i="3"/>
  <c r="W15" i="3"/>
  <c r="X15" i="3"/>
  <c r="Y15" i="3"/>
  <c r="Z15" i="3"/>
  <c r="AA15" i="3"/>
  <c r="AB15" i="3"/>
  <c r="AC15" i="3"/>
  <c r="AD15" i="3"/>
  <c r="AE15" i="3"/>
  <c r="AF15" i="3"/>
  <c r="AG15" i="3"/>
  <c r="AH15" i="3"/>
  <c r="AI15" i="3"/>
  <c r="AJ15" i="3"/>
  <c r="V16" i="3"/>
  <c r="W16" i="3"/>
  <c r="X16" i="3"/>
  <c r="Y16" i="3"/>
  <c r="Z16" i="3"/>
  <c r="AA16" i="3"/>
  <c r="AB16" i="3"/>
  <c r="AC16" i="3"/>
  <c r="AD16" i="3"/>
  <c r="AE16" i="3"/>
  <c r="AF16" i="3"/>
  <c r="AG16" i="3"/>
  <c r="AH16" i="3"/>
  <c r="AI16" i="3"/>
  <c r="AJ16" i="3"/>
  <c r="V17" i="3"/>
  <c r="W17" i="3"/>
  <c r="X17" i="3"/>
  <c r="Y17" i="3"/>
  <c r="Z17" i="3"/>
  <c r="AA17" i="3"/>
  <c r="AB17" i="3"/>
  <c r="AC17" i="3"/>
  <c r="AD17" i="3"/>
  <c r="AE17" i="3"/>
  <c r="AF17" i="3"/>
  <c r="AG17" i="3"/>
  <c r="AH17" i="3"/>
  <c r="AI17" i="3"/>
  <c r="AJ17" i="3"/>
  <c r="V18" i="3"/>
  <c r="W18" i="3"/>
  <c r="X18" i="3"/>
  <c r="Y18" i="3"/>
  <c r="Z18" i="3"/>
  <c r="AA18" i="3"/>
  <c r="AB18" i="3"/>
  <c r="AC18" i="3"/>
  <c r="AD18" i="3"/>
  <c r="AE18" i="3"/>
  <c r="AF18" i="3"/>
  <c r="AG18" i="3"/>
  <c r="AH18" i="3"/>
  <c r="AI18" i="3"/>
  <c r="AJ18" i="3"/>
  <c r="V19" i="3"/>
  <c r="W19" i="3"/>
  <c r="X19" i="3"/>
  <c r="Y19" i="3"/>
  <c r="Z19" i="3"/>
  <c r="AA19" i="3"/>
  <c r="AB19" i="3"/>
  <c r="AC19" i="3"/>
  <c r="AD19" i="3"/>
  <c r="AE19" i="3"/>
  <c r="AF19" i="3"/>
  <c r="AG19" i="3"/>
  <c r="AH19" i="3"/>
  <c r="AI19" i="3"/>
  <c r="AJ19" i="3"/>
  <c r="V20" i="3"/>
  <c r="W20" i="3"/>
  <c r="X20" i="3"/>
  <c r="Y20" i="3"/>
  <c r="Z20" i="3"/>
  <c r="AA20" i="3"/>
  <c r="AB20" i="3"/>
  <c r="AC20" i="3"/>
  <c r="AD20" i="3"/>
  <c r="AE20" i="3"/>
  <c r="AF20" i="3"/>
  <c r="AG20" i="3"/>
  <c r="AH20" i="3"/>
  <c r="AI20" i="3"/>
  <c r="AJ20" i="3"/>
  <c r="V21" i="3"/>
  <c r="W21" i="3"/>
  <c r="X21" i="3"/>
  <c r="Y21" i="3"/>
  <c r="Z21" i="3"/>
  <c r="AA21" i="3"/>
  <c r="AB21" i="3"/>
  <c r="AC21" i="3"/>
  <c r="AD21" i="3"/>
  <c r="AE21" i="3"/>
  <c r="AF21" i="3"/>
  <c r="AG21" i="3"/>
  <c r="AH21" i="3"/>
  <c r="AI21" i="3"/>
  <c r="AJ21" i="3"/>
  <c r="V22" i="3"/>
  <c r="W22" i="3"/>
  <c r="X22" i="3"/>
  <c r="Y22" i="3"/>
  <c r="Z22" i="3"/>
  <c r="AA22" i="3"/>
  <c r="AB22" i="3"/>
  <c r="AC22" i="3"/>
  <c r="AD22" i="3"/>
  <c r="AE22" i="3"/>
  <c r="AF22" i="3"/>
  <c r="AG22" i="3"/>
  <c r="AH22" i="3"/>
  <c r="AI22" i="3"/>
  <c r="AJ22" i="3"/>
  <c r="V23" i="3"/>
  <c r="W23" i="3"/>
  <c r="X23" i="3"/>
  <c r="Y23" i="3"/>
  <c r="Z23" i="3"/>
  <c r="AA23" i="3"/>
  <c r="AB23" i="3"/>
  <c r="AC23" i="3"/>
  <c r="AD23" i="3"/>
  <c r="AE23" i="3"/>
  <c r="AF23" i="3"/>
  <c r="AG23" i="3"/>
  <c r="AH23" i="3"/>
  <c r="AI23" i="3"/>
  <c r="AJ23" i="3"/>
  <c r="V24" i="3"/>
  <c r="W24" i="3"/>
  <c r="X24" i="3"/>
  <c r="Y24" i="3"/>
  <c r="Z24" i="3"/>
  <c r="AA24" i="3"/>
  <c r="AB24" i="3"/>
  <c r="AC24" i="3"/>
  <c r="AD24" i="3"/>
  <c r="AE24" i="3"/>
  <c r="AF24" i="3"/>
  <c r="AG24" i="3"/>
  <c r="AH24" i="3"/>
  <c r="AI24" i="3"/>
  <c r="AJ24" i="3"/>
  <c r="V25" i="3"/>
  <c r="W25" i="3"/>
  <c r="X25" i="3"/>
  <c r="Y25" i="3"/>
  <c r="Z25" i="3"/>
  <c r="AA25" i="3"/>
  <c r="AB25" i="3"/>
  <c r="AC25" i="3"/>
  <c r="AD25" i="3"/>
  <c r="AE25" i="3"/>
  <c r="AF25" i="3"/>
  <c r="AG25" i="3"/>
  <c r="AH25" i="3"/>
  <c r="AI25" i="3"/>
  <c r="AJ25" i="3"/>
  <c r="V26" i="3"/>
  <c r="W26" i="3"/>
  <c r="X26" i="3"/>
  <c r="Y26" i="3"/>
  <c r="Z26" i="3"/>
  <c r="AA26" i="3"/>
  <c r="AB26" i="3"/>
  <c r="AC26" i="3"/>
  <c r="AD26" i="3"/>
  <c r="AE26" i="3"/>
  <c r="AF26" i="3"/>
  <c r="AG26" i="3"/>
  <c r="AH26" i="3"/>
  <c r="AI26" i="3"/>
  <c r="AJ26" i="3"/>
  <c r="W3" i="3"/>
  <c r="X3" i="3"/>
  <c r="Y3" i="3"/>
  <c r="Z3" i="3"/>
  <c r="AA3" i="3"/>
  <c r="AB3" i="3"/>
  <c r="AC3" i="3"/>
  <c r="AD3" i="3"/>
  <c r="AE3" i="3"/>
  <c r="AF3" i="3"/>
  <c r="AG3" i="3"/>
  <c r="AH3" i="3"/>
  <c r="AI3" i="3"/>
  <c r="AJ3" i="3"/>
  <c r="V3" i="3"/>
  <c r="AI69" i="3"/>
  <c r="AJ69" i="3" s="1"/>
  <c r="AI70" i="3"/>
  <c r="AJ70" i="3" s="1"/>
  <c r="AI71" i="3"/>
  <c r="AJ71" i="3"/>
  <c r="AI72" i="3"/>
  <c r="AJ72" i="3"/>
  <c r="Z72" i="3"/>
  <c r="AA72" i="3" s="1"/>
  <c r="AB72" i="3" s="1"/>
  <c r="AC72" i="3" s="1"/>
  <c r="AD72" i="3" s="1"/>
  <c r="AE72" i="3" s="1"/>
  <c r="AF72" i="3" s="1"/>
  <c r="AG72" i="3" s="1"/>
  <c r="AH72" i="3" s="1"/>
  <c r="Z71" i="3"/>
  <c r="AA71" i="3" s="1"/>
  <c r="AB71" i="3" s="1"/>
  <c r="AC71" i="3" s="1"/>
  <c r="AD71" i="3" s="1"/>
  <c r="AE71" i="3" s="1"/>
  <c r="AF71" i="3" s="1"/>
  <c r="AG71" i="3" s="1"/>
  <c r="AH71" i="3" s="1"/>
  <c r="AA70" i="3"/>
  <c r="AB70" i="3" s="1"/>
  <c r="AC70" i="3" s="1"/>
  <c r="AD70" i="3" s="1"/>
  <c r="AE70" i="3" s="1"/>
  <c r="AF70" i="3" s="1"/>
  <c r="AG70" i="3" s="1"/>
  <c r="AH70" i="3" s="1"/>
  <c r="Z70" i="3"/>
  <c r="AB69" i="3"/>
  <c r="AC69" i="3" s="1"/>
  <c r="AD69" i="3" s="1"/>
  <c r="AE69" i="3" s="1"/>
  <c r="AF69" i="3" s="1"/>
  <c r="AG69" i="3" s="1"/>
  <c r="AH69" i="3" s="1"/>
  <c r="AA69" i="3"/>
  <c r="Z69" i="3"/>
  <c r="W61" i="3"/>
  <c r="X61" i="3" s="1"/>
  <c r="Y61" i="3" s="1"/>
  <c r="Z61" i="3" s="1"/>
  <c r="AA61" i="3" s="1"/>
  <c r="AB61" i="3" s="1"/>
  <c r="AC61" i="3" s="1"/>
  <c r="AD61" i="3" s="1"/>
  <c r="AE61" i="3" s="1"/>
  <c r="AF61" i="3" s="1"/>
  <c r="AG61" i="3" s="1"/>
  <c r="AH61" i="3" s="1"/>
  <c r="AI61" i="3" s="1"/>
  <c r="W62" i="3"/>
  <c r="X62" i="3" s="1"/>
  <c r="Y62" i="3" s="1"/>
  <c r="Z62" i="3" s="1"/>
  <c r="AA62" i="3" s="1"/>
  <c r="AB62" i="3" s="1"/>
  <c r="AC62" i="3" s="1"/>
  <c r="AD62" i="3" s="1"/>
  <c r="AE62" i="3" s="1"/>
  <c r="AF62" i="3" s="1"/>
  <c r="AG62" i="3" s="1"/>
  <c r="AH62" i="3" s="1"/>
  <c r="AI62" i="3" s="1"/>
  <c r="V62" i="3"/>
  <c r="V61" i="3"/>
  <c r="W60" i="3"/>
  <c r="X60" i="3" s="1"/>
  <c r="Y60" i="3" s="1"/>
  <c r="V60" i="3"/>
  <c r="V58" i="3"/>
  <c r="W58" i="3" s="1"/>
  <c r="X58" i="3" s="1"/>
  <c r="Y58" i="3" s="1"/>
  <c r="Z58" i="3" s="1"/>
  <c r="AA58" i="3" s="1"/>
  <c r="AB58" i="3" s="1"/>
  <c r="AC58" i="3" s="1"/>
  <c r="AD58" i="3" s="1"/>
  <c r="AE59" i="3"/>
  <c r="AF59" i="3" s="1"/>
  <c r="AG59" i="3" s="1"/>
  <c r="AH59" i="3" s="1"/>
  <c r="AI59" i="3" s="1"/>
  <c r="V59" i="3"/>
  <c r="W59" i="3"/>
  <c r="X59" i="3" s="1"/>
  <c r="Y59" i="3" s="1"/>
  <c r="Z59" i="3" s="1"/>
  <c r="AA59" i="3" s="1"/>
  <c r="AB59" i="3" s="1"/>
  <c r="AC59" i="3" s="1"/>
  <c r="AD59" i="3" s="1"/>
  <c r="W57" i="3"/>
  <c r="X57" i="3" s="1"/>
  <c r="Y57" i="3" s="1"/>
  <c r="Z57" i="3" s="1"/>
  <c r="AA57" i="3" s="1"/>
  <c r="AB57" i="3" s="1"/>
  <c r="AC57" i="3" s="1"/>
  <c r="AD57" i="3" s="1"/>
  <c r="AE57" i="3" s="1"/>
  <c r="AF57" i="3" s="1"/>
  <c r="AG57" i="3" s="1"/>
  <c r="AH57" i="3" s="1"/>
  <c r="AI57" i="3" s="1"/>
  <c r="V57" i="3"/>
  <c r="M60" i="3"/>
  <c r="N60" i="3" s="1"/>
  <c r="O60" i="3" s="1"/>
  <c r="P60" i="3" s="1"/>
  <c r="Q60" i="3" s="1"/>
  <c r="R60" i="3" s="1"/>
  <c r="S60" i="3" s="1"/>
  <c r="T60" i="3" s="1"/>
  <c r="U60" i="3" s="1"/>
  <c r="L60" i="3"/>
  <c r="C12" i="20"/>
  <c r="J15" i="2"/>
  <c r="J26" i="3"/>
  <c r="I26" i="3"/>
  <c r="H26" i="3"/>
  <c r="G26" i="3"/>
  <c r="F26" i="3"/>
  <c r="J25" i="3"/>
  <c r="I25" i="3"/>
  <c r="H25" i="3"/>
  <c r="G25" i="3"/>
  <c r="F25" i="3"/>
  <c r="J24" i="3"/>
  <c r="I24" i="3"/>
  <c r="H24" i="3"/>
  <c r="G24" i="3"/>
  <c r="F24" i="3"/>
  <c r="J23" i="3"/>
  <c r="I23" i="3"/>
  <c r="H23" i="3"/>
  <c r="G23" i="3"/>
  <c r="F23" i="3"/>
  <c r="J22" i="3"/>
  <c r="I22" i="3"/>
  <c r="H22" i="3"/>
  <c r="G22" i="3"/>
  <c r="F22" i="3"/>
  <c r="J21" i="3"/>
  <c r="I21" i="3"/>
  <c r="H21" i="3"/>
  <c r="G21" i="3"/>
  <c r="F21" i="3"/>
  <c r="J20" i="3"/>
  <c r="I20" i="3"/>
  <c r="H20" i="3"/>
  <c r="G20" i="3"/>
  <c r="F20" i="3"/>
  <c r="J19" i="3"/>
  <c r="I19" i="3"/>
  <c r="H19" i="3"/>
  <c r="G19" i="3"/>
  <c r="F19" i="3"/>
  <c r="J18" i="3"/>
  <c r="I18" i="3"/>
  <c r="H18" i="3"/>
  <c r="G18" i="3"/>
  <c r="F18" i="3"/>
  <c r="J17" i="3"/>
  <c r="I17" i="3"/>
  <c r="H17" i="3"/>
  <c r="G17" i="3"/>
  <c r="F17" i="3"/>
  <c r="J16" i="3"/>
  <c r="I16" i="3"/>
  <c r="H16" i="3"/>
  <c r="G16" i="3"/>
  <c r="F16" i="3"/>
  <c r="J15" i="3"/>
  <c r="I15" i="3"/>
  <c r="H15" i="3"/>
  <c r="G15" i="3"/>
  <c r="F15" i="3"/>
  <c r="J14" i="3"/>
  <c r="I14" i="3"/>
  <c r="H14" i="3"/>
  <c r="G14" i="3"/>
  <c r="F14" i="3"/>
  <c r="J13" i="3"/>
  <c r="I13" i="3"/>
  <c r="H13" i="3"/>
  <c r="G13" i="3"/>
  <c r="F13" i="3"/>
  <c r="J12" i="3"/>
  <c r="I12" i="3"/>
  <c r="H12" i="3"/>
  <c r="G12" i="3"/>
  <c r="F12" i="3"/>
  <c r="J11" i="3"/>
  <c r="I11" i="3"/>
  <c r="H11" i="3"/>
  <c r="G11" i="3"/>
  <c r="F11" i="3"/>
  <c r="J10" i="3"/>
  <c r="I10" i="3"/>
  <c r="H10" i="3"/>
  <c r="G10" i="3"/>
  <c r="F10" i="3"/>
  <c r="J9" i="3"/>
  <c r="I9" i="3"/>
  <c r="H9" i="3"/>
  <c r="G9" i="3"/>
  <c r="F9" i="3"/>
  <c r="J8" i="3"/>
  <c r="I8" i="3"/>
  <c r="H8" i="3"/>
  <c r="G8" i="3"/>
  <c r="F8" i="3"/>
  <c r="J7" i="3"/>
  <c r="I7" i="3"/>
  <c r="H7" i="3"/>
  <c r="G7" i="3"/>
  <c r="F7" i="3"/>
  <c r="J6" i="3"/>
  <c r="I6" i="3"/>
  <c r="H6" i="3"/>
  <c r="G6" i="3"/>
  <c r="F6" i="3"/>
  <c r="J5" i="3"/>
  <c r="I5" i="3"/>
  <c r="H5" i="3"/>
  <c r="G5" i="3"/>
  <c r="F5" i="3"/>
  <c r="J4" i="3"/>
  <c r="I4" i="3"/>
  <c r="H4" i="3"/>
  <c r="G4" i="3"/>
  <c r="F4" i="3"/>
  <c r="J3" i="3"/>
  <c r="I3" i="3"/>
  <c r="H3" i="3"/>
  <c r="G3" i="3"/>
  <c r="F3" i="3"/>
  <c r="F9" i="20" l="1"/>
  <c r="F8" i="20"/>
  <c r="H12" i="20" l="1"/>
  <c r="H11" i="20"/>
  <c r="K19" i="1"/>
  <c r="F17" i="1"/>
  <c r="F16" i="1"/>
  <c r="C15" i="20" l="1"/>
  <c r="C23" i="1" l="1"/>
  <c r="B30" i="1" l="1"/>
  <c r="H13" i="20" l="1"/>
  <c r="H19" i="20" l="1"/>
  <c r="M3" i="5"/>
  <c r="N3" i="5"/>
  <c r="M4" i="5"/>
  <c r="N4" i="5"/>
  <c r="M5" i="5"/>
  <c r="N5" i="5"/>
  <c r="M6" i="5"/>
  <c r="N6" i="5"/>
  <c r="M7" i="5"/>
  <c r="N7" i="5"/>
  <c r="M8" i="5"/>
  <c r="N8" i="5"/>
  <c r="M9" i="5"/>
  <c r="N9" i="5"/>
  <c r="M10" i="5"/>
  <c r="N10" i="5"/>
  <c r="M11" i="5"/>
  <c r="N11" i="5"/>
  <c r="M12" i="5"/>
  <c r="N12" i="5"/>
  <c r="M13" i="5"/>
  <c r="N13" i="5"/>
  <c r="M14" i="5"/>
  <c r="N14" i="5"/>
  <c r="M15" i="5"/>
  <c r="N15" i="5"/>
  <c r="M16" i="5"/>
  <c r="N16" i="5"/>
  <c r="M17" i="5"/>
  <c r="N17" i="5"/>
  <c r="M18" i="5"/>
  <c r="N18" i="5"/>
  <c r="M19" i="5"/>
  <c r="N19" i="5"/>
  <c r="M20" i="5"/>
  <c r="N20" i="5"/>
  <c r="M21" i="5"/>
  <c r="N21" i="5"/>
  <c r="M22" i="5"/>
  <c r="N22" i="5"/>
  <c r="M23" i="5"/>
  <c r="N23" i="5"/>
  <c r="M24" i="5"/>
  <c r="N24" i="5"/>
  <c r="M25" i="5"/>
  <c r="N25" i="5"/>
  <c r="N2" i="5"/>
  <c r="M2" i="5"/>
  <c r="E3" i="5"/>
  <c r="F3" i="5"/>
  <c r="E4" i="5"/>
  <c r="F4" i="5"/>
  <c r="E5" i="5"/>
  <c r="F5" i="5"/>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F23" i="5"/>
  <c r="E24" i="5"/>
  <c r="F24" i="5"/>
  <c r="E25" i="5"/>
  <c r="F25" i="5"/>
  <c r="F2" i="5"/>
  <c r="E2" i="5"/>
  <c r="B33" i="1" l="1" a="1"/>
  <c r="B33" i="1" s="1"/>
  <c r="C19" i="1" l="1"/>
  <c r="J30" i="3" l="1"/>
  <c r="J31" i="3"/>
  <c r="J32" i="3"/>
  <c r="J33" i="3"/>
  <c r="J34" i="3"/>
  <c r="J35" i="3"/>
  <c r="J36" i="3"/>
  <c r="J37" i="3"/>
  <c r="J38" i="3"/>
  <c r="J39" i="3"/>
  <c r="J40" i="3"/>
  <c r="J41" i="3"/>
  <c r="J42" i="3"/>
  <c r="J43" i="3"/>
  <c r="J44" i="3"/>
  <c r="J45" i="3"/>
  <c r="J46" i="3"/>
  <c r="J47" i="3"/>
  <c r="J48" i="3"/>
  <c r="J49" i="3"/>
  <c r="J50" i="3"/>
  <c r="J51" i="3"/>
  <c r="J52" i="3"/>
  <c r="J53" i="3"/>
  <c r="U51" i="3"/>
  <c r="U36" i="3"/>
  <c r="K31" i="3"/>
  <c r="L58" i="3"/>
  <c r="L14" i="3" s="1"/>
  <c r="L59" i="3"/>
  <c r="L5" i="3" s="1"/>
  <c r="L16" i="3"/>
  <c r="L61" i="3"/>
  <c r="M61" i="3" s="1"/>
  <c r="N61" i="3" s="1"/>
  <c r="O61" i="3" s="1"/>
  <c r="P61" i="3" s="1"/>
  <c r="Q61" i="3" s="1"/>
  <c r="R61" i="3" s="1"/>
  <c r="S61" i="3" s="1"/>
  <c r="T61" i="3" s="1"/>
  <c r="L62" i="3"/>
  <c r="M62" i="3" s="1"/>
  <c r="N62" i="3" s="1"/>
  <c r="O62" i="3" s="1"/>
  <c r="P62" i="3" s="1"/>
  <c r="Q62" i="3" s="1"/>
  <c r="R62" i="3" s="1"/>
  <c r="S62" i="3" s="1"/>
  <c r="T62" i="3" s="1"/>
  <c r="L63" i="3"/>
  <c r="L18" i="3" s="1"/>
  <c r="L57" i="3"/>
  <c r="L3" i="3" s="1"/>
  <c r="F57" i="3"/>
  <c r="G57" i="3" s="1"/>
  <c r="H57" i="3" s="1"/>
  <c r="I57" i="3" s="1"/>
  <c r="J57" i="3" s="1"/>
  <c r="U3" i="3"/>
  <c r="U4" i="3"/>
  <c r="U5" i="3"/>
  <c r="U6" i="3"/>
  <c r="U7" i="3"/>
  <c r="U8" i="3"/>
  <c r="U9" i="3"/>
  <c r="U10" i="3"/>
  <c r="U11" i="3"/>
  <c r="U12" i="3"/>
  <c r="U13" i="3"/>
  <c r="U14" i="3"/>
  <c r="U15" i="3"/>
  <c r="U16" i="3"/>
  <c r="U17" i="3"/>
  <c r="U18" i="3"/>
  <c r="U19" i="3"/>
  <c r="U20" i="3"/>
  <c r="U21" i="3"/>
  <c r="U22" i="3"/>
  <c r="U23" i="3"/>
  <c r="U24" i="3"/>
  <c r="U25" i="3"/>
  <c r="U26" i="3"/>
  <c r="L6" i="3"/>
  <c r="L10" i="3"/>
  <c r="B32" i="1" a="1"/>
  <c r="B32" i="1" s="1"/>
  <c r="L21" i="3" l="1"/>
  <c r="L11" i="3"/>
  <c r="L20" i="3"/>
  <c r="L23" i="3"/>
  <c r="L22" i="3"/>
  <c r="M39" i="3"/>
  <c r="M33" i="3"/>
  <c r="Q42" i="3"/>
  <c r="Q53" i="3"/>
  <c r="M47" i="3"/>
  <c r="U33" i="3"/>
  <c r="U52" i="3"/>
  <c r="L17" i="3"/>
  <c r="M51" i="3"/>
  <c r="L15" i="3"/>
  <c r="L13" i="3"/>
  <c r="M58" i="3"/>
  <c r="N58" i="3" s="1"/>
  <c r="O58" i="3" s="1"/>
  <c r="P58" i="3" s="1"/>
  <c r="Q58" i="3" s="1"/>
  <c r="R58" i="3" s="1"/>
  <c r="S58" i="3" s="1"/>
  <c r="T58" i="3" s="1"/>
  <c r="Q50" i="3"/>
  <c r="M16" i="3"/>
  <c r="M53" i="3"/>
  <c r="U47" i="3"/>
  <c r="Q38" i="3"/>
  <c r="Q52" i="3"/>
  <c r="U49" i="3"/>
  <c r="U41" i="3"/>
  <c r="Q36" i="3"/>
  <c r="M52" i="3"/>
  <c r="M49" i="3"/>
  <c r="U45" i="3"/>
  <c r="M41" i="3"/>
  <c r="M45" i="3"/>
  <c r="U35" i="3"/>
  <c r="U53" i="3"/>
  <c r="Q48" i="3"/>
  <c r="M35" i="3"/>
  <c r="T53" i="3"/>
  <c r="L53" i="3"/>
  <c r="P52" i="3"/>
  <c r="T51" i="3"/>
  <c r="L51" i="3"/>
  <c r="P50" i="3"/>
  <c r="T49" i="3"/>
  <c r="L49" i="3"/>
  <c r="P48" i="3"/>
  <c r="T47" i="3"/>
  <c r="L47" i="3"/>
  <c r="T45" i="3"/>
  <c r="L45" i="3"/>
  <c r="P42" i="3"/>
  <c r="T41" i="3"/>
  <c r="L41" i="3"/>
  <c r="P38" i="3"/>
  <c r="P36" i="3"/>
  <c r="T35" i="3"/>
  <c r="L35" i="3"/>
  <c r="T33" i="3"/>
  <c r="L33" i="3"/>
  <c r="M63" i="3"/>
  <c r="N63" i="3" s="1"/>
  <c r="O63" i="3" s="1"/>
  <c r="P63" i="3" s="1"/>
  <c r="Q63" i="3" s="1"/>
  <c r="R63" i="3" s="1"/>
  <c r="S63" i="3" s="1"/>
  <c r="T63" i="3" s="1"/>
  <c r="M57" i="3"/>
  <c r="N57" i="3" s="1"/>
  <c r="O57" i="3" s="1"/>
  <c r="P57" i="3" s="1"/>
  <c r="Q57" i="3" s="1"/>
  <c r="R57" i="3" s="1"/>
  <c r="S57" i="3" s="1"/>
  <c r="T57" i="3" s="1"/>
  <c r="S53" i="3"/>
  <c r="K53" i="3"/>
  <c r="O52" i="3"/>
  <c r="S51" i="3"/>
  <c r="K51" i="3"/>
  <c r="O50" i="3"/>
  <c r="S49" i="3"/>
  <c r="K49" i="3"/>
  <c r="O48" i="3"/>
  <c r="S47" i="3"/>
  <c r="K47" i="3"/>
  <c r="S45" i="3"/>
  <c r="K45" i="3"/>
  <c r="O42" i="3"/>
  <c r="S41" i="3"/>
  <c r="K41" i="3"/>
  <c r="K39" i="3"/>
  <c r="O38" i="3"/>
  <c r="O36" i="3"/>
  <c r="S35" i="3"/>
  <c r="K35" i="3"/>
  <c r="S33" i="3"/>
  <c r="K33" i="3"/>
  <c r="L12" i="3"/>
  <c r="R53" i="3"/>
  <c r="N52" i="3"/>
  <c r="R51" i="3"/>
  <c r="N50" i="3"/>
  <c r="R49" i="3"/>
  <c r="N48" i="3"/>
  <c r="R47" i="3"/>
  <c r="R45" i="3"/>
  <c r="N42" i="3"/>
  <c r="R41" i="3"/>
  <c r="N38" i="3"/>
  <c r="N36" i="3"/>
  <c r="R35" i="3"/>
  <c r="R33" i="3"/>
  <c r="M59" i="3"/>
  <c r="M10" i="3" s="1"/>
  <c r="Q51" i="3"/>
  <c r="U50" i="3"/>
  <c r="M50" i="3"/>
  <c r="Q49" i="3"/>
  <c r="U48" i="3"/>
  <c r="M48" i="3"/>
  <c r="Q47" i="3"/>
  <c r="Q45" i="3"/>
  <c r="U42" i="3"/>
  <c r="M42" i="3"/>
  <c r="Q41" i="3"/>
  <c r="U38" i="3"/>
  <c r="M38" i="3"/>
  <c r="M36" i="3"/>
  <c r="Q35" i="3"/>
  <c r="Q33" i="3"/>
  <c r="P53" i="3"/>
  <c r="T52" i="3"/>
  <c r="L52" i="3"/>
  <c r="P51" i="3"/>
  <c r="T50" i="3"/>
  <c r="L50" i="3"/>
  <c r="P49" i="3"/>
  <c r="T48" i="3"/>
  <c r="L48" i="3"/>
  <c r="P47" i="3"/>
  <c r="P45" i="3"/>
  <c r="T42" i="3"/>
  <c r="L42" i="3"/>
  <c r="P41" i="3"/>
  <c r="T38" i="3"/>
  <c r="L38" i="3"/>
  <c r="T36" i="3"/>
  <c r="L36" i="3"/>
  <c r="P35" i="3"/>
  <c r="P33" i="3"/>
  <c r="O53" i="3"/>
  <c r="S52" i="3"/>
  <c r="K52" i="3"/>
  <c r="O51" i="3"/>
  <c r="S50" i="3"/>
  <c r="K50" i="3"/>
  <c r="O49" i="3"/>
  <c r="S48" i="3"/>
  <c r="K48" i="3"/>
  <c r="O47" i="3"/>
  <c r="O45" i="3"/>
  <c r="S42" i="3"/>
  <c r="K42" i="3"/>
  <c r="O41" i="3"/>
  <c r="S38" i="3"/>
  <c r="K38" i="3"/>
  <c r="S36" i="3"/>
  <c r="K36" i="3"/>
  <c r="O35" i="3"/>
  <c r="O33" i="3"/>
  <c r="N53" i="3"/>
  <c r="R52" i="3"/>
  <c r="N51" i="3"/>
  <c r="R50" i="3"/>
  <c r="N49" i="3"/>
  <c r="R48" i="3"/>
  <c r="N47" i="3"/>
  <c r="N45" i="3"/>
  <c r="R42" i="3"/>
  <c r="N41" i="3"/>
  <c r="R38" i="3"/>
  <c r="R36" i="3"/>
  <c r="N35" i="3"/>
  <c r="N33" i="3"/>
  <c r="M6" i="3"/>
  <c r="M26" i="3"/>
  <c r="L26" i="3"/>
  <c r="L8" i="3"/>
  <c r="L7" i="3"/>
  <c r="L24" i="3"/>
  <c r="L4" i="3"/>
  <c r="L19" i="3"/>
  <c r="L25" i="3"/>
  <c r="L9" i="3"/>
  <c r="M9" i="3" l="1"/>
  <c r="M14" i="3"/>
  <c r="N14" i="3"/>
  <c r="M15" i="3"/>
  <c r="L39" i="3"/>
  <c r="L31" i="3"/>
  <c r="M22" i="3"/>
  <c r="M23" i="3"/>
  <c r="M31" i="3"/>
  <c r="M5" i="3"/>
  <c r="M20" i="3"/>
  <c r="M4" i="3"/>
  <c r="M17" i="3"/>
  <c r="M24" i="3"/>
  <c r="N11" i="3"/>
  <c r="M8" i="3"/>
  <c r="M18" i="3"/>
  <c r="M25" i="3"/>
  <c r="O25" i="3"/>
  <c r="M3" i="3"/>
  <c r="M21" i="3"/>
  <c r="N25" i="3"/>
  <c r="O24" i="3"/>
  <c r="M11" i="3"/>
  <c r="M7" i="3"/>
  <c r="O18" i="3"/>
  <c r="M19" i="3"/>
  <c r="N13" i="3"/>
  <c r="M13" i="3"/>
  <c r="M12" i="3"/>
  <c r="N59" i="3"/>
  <c r="N10" i="3" s="1"/>
  <c r="N15" i="3"/>
  <c r="N23" i="3"/>
  <c r="N22" i="3"/>
  <c r="N6" i="3"/>
  <c r="P7" i="3"/>
  <c r="P26" i="3"/>
  <c r="N18" i="3"/>
  <c r="N26" i="3"/>
  <c r="O26" i="3"/>
  <c r="O6" i="3"/>
  <c r="O14" i="3"/>
  <c r="O22" i="3"/>
  <c r="O15" i="3"/>
  <c r="O23" i="3"/>
  <c r="N4" i="3"/>
  <c r="N20" i="3"/>
  <c r="N21" i="3"/>
  <c r="N8" i="3"/>
  <c r="N3" i="3"/>
  <c r="O20" i="3"/>
  <c r="O8" i="3"/>
  <c r="O7" i="3"/>
  <c r="O4" i="3"/>
  <c r="O21" i="3"/>
  <c r="O19" i="3"/>
  <c r="N24" i="3"/>
  <c r="O3" i="3"/>
  <c r="O11" i="3"/>
  <c r="N7" i="3"/>
  <c r="N9" i="3"/>
  <c r="N19" i="3"/>
  <c r="O9" i="3"/>
  <c r="P21" i="3"/>
  <c r="P3" i="3"/>
  <c r="P11" i="3"/>
  <c r="P8" i="3"/>
  <c r="P19" i="3"/>
  <c r="P4" i="3"/>
  <c r="P20" i="3"/>
  <c r="N39" i="3" l="1"/>
  <c r="N31" i="3"/>
  <c r="N16" i="3"/>
  <c r="O31" i="3"/>
  <c r="O39" i="3"/>
  <c r="O59" i="3"/>
  <c r="N12" i="3"/>
  <c r="N17" i="3"/>
  <c r="N5" i="3"/>
  <c r="P25" i="3"/>
  <c r="Q4" i="3"/>
  <c r="Q26" i="3"/>
  <c r="P9" i="3"/>
  <c r="P24" i="3"/>
  <c r="P18" i="3"/>
  <c r="P6" i="3"/>
  <c r="P14" i="3"/>
  <c r="P22" i="3"/>
  <c r="P15" i="3"/>
  <c r="P23" i="3"/>
  <c r="Q18" i="3"/>
  <c r="Q20" i="3"/>
  <c r="Q24" i="3"/>
  <c r="Q9" i="3"/>
  <c r="Q25" i="3"/>
  <c r="Q3" i="3"/>
  <c r="Q11" i="3"/>
  <c r="Q19" i="3"/>
  <c r="Q7" i="3"/>
  <c r="Q8" i="3"/>
  <c r="O13" i="3" l="1"/>
  <c r="O16" i="3"/>
  <c r="P59" i="3"/>
  <c r="O5" i="3"/>
  <c r="O12" i="3"/>
  <c r="O10" i="3"/>
  <c r="O17" i="3"/>
  <c r="P31" i="3"/>
  <c r="P39" i="3"/>
  <c r="Q21" i="3"/>
  <c r="R4" i="3"/>
  <c r="R26" i="3"/>
  <c r="Q6" i="3"/>
  <c r="Q14" i="3"/>
  <c r="Q22" i="3"/>
  <c r="Q15" i="3"/>
  <c r="Q23" i="3"/>
  <c r="R18" i="3"/>
  <c r="P13" i="3" l="1"/>
  <c r="P16" i="3"/>
  <c r="Q31" i="3"/>
  <c r="Q39" i="3"/>
  <c r="Q59" i="3"/>
  <c r="P10" i="3"/>
  <c r="P12" i="3"/>
  <c r="P5" i="3"/>
  <c r="P17" i="3"/>
  <c r="R25" i="3"/>
  <c r="R9" i="3"/>
  <c r="R19" i="3"/>
  <c r="R8" i="3"/>
  <c r="R3" i="3"/>
  <c r="R21" i="3"/>
  <c r="R20" i="3"/>
  <c r="R24" i="3"/>
  <c r="R11" i="3"/>
  <c r="R7" i="3"/>
  <c r="S26" i="3"/>
  <c r="S3" i="3"/>
  <c r="S18" i="3"/>
  <c r="R15" i="3"/>
  <c r="R23" i="3"/>
  <c r="R6" i="3"/>
  <c r="R14" i="3"/>
  <c r="R22" i="3"/>
  <c r="S7" i="3"/>
  <c r="S9" i="3"/>
  <c r="S4" i="3"/>
  <c r="S20" i="3"/>
  <c r="S21" i="3"/>
  <c r="S8" i="3"/>
  <c r="S24" i="3"/>
  <c r="Q13" i="3" l="1"/>
  <c r="Q16" i="3"/>
  <c r="R59" i="3"/>
  <c r="Q5" i="3"/>
  <c r="Q17" i="3"/>
  <c r="Q10" i="3"/>
  <c r="Q12" i="3"/>
  <c r="R31" i="3"/>
  <c r="R39" i="3"/>
  <c r="S19" i="3"/>
  <c r="S11" i="3"/>
  <c r="S25" i="3"/>
  <c r="T24" i="3"/>
  <c r="T26" i="3"/>
  <c r="T18" i="3"/>
  <c r="S6" i="3"/>
  <c r="S14" i="3"/>
  <c r="S22" i="3"/>
  <c r="S15" i="3"/>
  <c r="S23" i="3"/>
  <c r="T9" i="3"/>
  <c r="T11" i="3"/>
  <c r="T8" i="3"/>
  <c r="R13" i="3" l="1"/>
  <c r="R16" i="3"/>
  <c r="S31" i="3"/>
  <c r="S39" i="3"/>
  <c r="S59" i="3"/>
  <c r="R12" i="3"/>
  <c r="R10" i="3"/>
  <c r="R17" i="3"/>
  <c r="R5" i="3"/>
  <c r="T21" i="3"/>
  <c r="T20" i="3"/>
  <c r="T4" i="3"/>
  <c r="T7" i="3"/>
  <c r="T25" i="3"/>
  <c r="T19" i="3"/>
  <c r="T3" i="3"/>
  <c r="T23" i="3"/>
  <c r="T22" i="3"/>
  <c r="T14" i="3"/>
  <c r="T15" i="3"/>
  <c r="T6" i="3"/>
  <c r="S16" i="3" l="1"/>
  <c r="S13" i="3"/>
  <c r="T59" i="3"/>
  <c r="S10" i="3"/>
  <c r="S17" i="3"/>
  <c r="S12" i="3"/>
  <c r="S5" i="3"/>
  <c r="T31" i="3"/>
  <c r="T39" i="3"/>
  <c r="T16" i="3" l="1"/>
  <c r="T13" i="3"/>
  <c r="U31" i="3"/>
  <c r="U39" i="3"/>
  <c r="K30" i="3"/>
  <c r="K32" i="3"/>
  <c r="K34" i="3"/>
  <c r="K40" i="3"/>
  <c r="K44" i="3"/>
  <c r="K46" i="3"/>
  <c r="K37" i="3"/>
  <c r="K43" i="3"/>
  <c r="T17" i="3"/>
  <c r="T5" i="3"/>
  <c r="T12" i="3"/>
  <c r="T10" i="3"/>
  <c r="E70" i="4"/>
  <c r="E71" i="4" s="1"/>
  <c r="E72" i="4" s="1"/>
  <c r="F70" i="4"/>
  <c r="F71" i="4" s="1"/>
  <c r="F72" i="4" s="1"/>
  <c r="G70" i="4"/>
  <c r="G71" i="4" s="1"/>
  <c r="G72" i="4" s="1"/>
  <c r="H70" i="4"/>
  <c r="H71" i="4" s="1"/>
  <c r="H72" i="4" s="1"/>
  <c r="I70" i="4"/>
  <c r="I71" i="4" s="1"/>
  <c r="I72" i="4" s="1"/>
  <c r="J70" i="4"/>
  <c r="J71" i="4" s="1"/>
  <c r="J72" i="4" s="1"/>
  <c r="K70" i="4"/>
  <c r="K71" i="4" s="1"/>
  <c r="K72" i="4" s="1"/>
  <c r="L70" i="4"/>
  <c r="L71" i="4" s="1"/>
  <c r="L72" i="4" s="1"/>
  <c r="M70" i="4"/>
  <c r="M71" i="4" s="1"/>
  <c r="M72" i="4" s="1"/>
  <c r="N70" i="4"/>
  <c r="N71" i="4" s="1"/>
  <c r="N72" i="4" s="1"/>
  <c r="O70" i="4"/>
  <c r="O71" i="4" s="1"/>
  <c r="O72" i="4" s="1"/>
  <c r="P70" i="4"/>
  <c r="P71" i="4" s="1"/>
  <c r="P72" i="4" s="1"/>
  <c r="Q70" i="4"/>
  <c r="Q71" i="4" s="1"/>
  <c r="Q72" i="4" s="1"/>
  <c r="R70" i="4"/>
  <c r="R71" i="4" s="1"/>
  <c r="R72" i="4" s="1"/>
  <c r="S70" i="4"/>
  <c r="S71" i="4" s="1"/>
  <c r="S72" i="4" s="1"/>
  <c r="E43" i="4"/>
  <c r="E44" i="4" s="1"/>
  <c r="E45" i="4" s="1"/>
  <c r="F43" i="4"/>
  <c r="F44" i="4" s="1"/>
  <c r="F45" i="4" s="1"/>
  <c r="G43" i="4"/>
  <c r="G44" i="4" s="1"/>
  <c r="G45" i="4" s="1"/>
  <c r="H43" i="4"/>
  <c r="H44" i="4" s="1"/>
  <c r="H45" i="4" s="1"/>
  <c r="I43" i="4"/>
  <c r="I44" i="4" s="1"/>
  <c r="I45" i="4" s="1"/>
  <c r="J43" i="4"/>
  <c r="J44" i="4" s="1"/>
  <c r="J45" i="4" s="1"/>
  <c r="K43" i="4"/>
  <c r="K44" i="4" s="1"/>
  <c r="K45" i="4" s="1"/>
  <c r="L43" i="4"/>
  <c r="L44" i="4" s="1"/>
  <c r="L45" i="4" s="1"/>
  <c r="M43" i="4"/>
  <c r="M44" i="4" s="1"/>
  <c r="M45" i="4" s="1"/>
  <c r="N43" i="4"/>
  <c r="N44" i="4" s="1"/>
  <c r="N45" i="4" s="1"/>
  <c r="O43" i="4"/>
  <c r="O44" i="4" s="1"/>
  <c r="O45" i="4" s="1"/>
  <c r="P43" i="4"/>
  <c r="P44" i="4" s="1"/>
  <c r="P45" i="4" s="1"/>
  <c r="Q43" i="4"/>
  <c r="Q44" i="4" s="1"/>
  <c r="Q45" i="4" s="1"/>
  <c r="R43" i="4"/>
  <c r="R44" i="4" s="1"/>
  <c r="R45" i="4" s="1"/>
  <c r="S43" i="4"/>
  <c r="S44" i="4" s="1"/>
  <c r="S45" i="4" s="1"/>
  <c r="D70" i="4"/>
  <c r="D71" i="4" s="1"/>
  <c r="D72" i="4" s="1"/>
  <c r="D43" i="4"/>
  <c r="D44" i="4" s="1"/>
  <c r="D45" i="4" s="1"/>
  <c r="L30" i="3" l="1"/>
  <c r="L32" i="3"/>
  <c r="L34" i="3"/>
  <c r="L40" i="3"/>
  <c r="L44" i="3"/>
  <c r="L46" i="3"/>
  <c r="L37" i="3"/>
  <c r="L43" i="3"/>
  <c r="S90" i="4"/>
  <c r="R90" i="4"/>
  <c r="Q90" i="4"/>
  <c r="P90" i="4"/>
  <c r="O90" i="4"/>
  <c r="N90" i="4"/>
  <c r="M90" i="4"/>
  <c r="L90" i="4"/>
  <c r="K90" i="4"/>
  <c r="J90" i="4"/>
  <c r="I90" i="4"/>
  <c r="H90" i="4"/>
  <c r="G90" i="4"/>
  <c r="F90" i="4"/>
  <c r="E90" i="4"/>
  <c r="D90" i="4"/>
  <c r="S89" i="4"/>
  <c r="R89" i="4"/>
  <c r="Q89" i="4"/>
  <c r="P89" i="4"/>
  <c r="O89" i="4"/>
  <c r="N89" i="4"/>
  <c r="M89" i="4"/>
  <c r="L89" i="4"/>
  <c r="K89" i="4"/>
  <c r="J89" i="4"/>
  <c r="I89" i="4"/>
  <c r="H89" i="4"/>
  <c r="G89" i="4"/>
  <c r="F89" i="4"/>
  <c r="E89" i="4"/>
  <c r="D89" i="4"/>
  <c r="S88" i="4"/>
  <c r="R88" i="4"/>
  <c r="Q88" i="4"/>
  <c r="P88" i="4"/>
  <c r="O88" i="4"/>
  <c r="N88" i="4"/>
  <c r="M88" i="4"/>
  <c r="L88" i="4"/>
  <c r="K88" i="4"/>
  <c r="J88" i="4"/>
  <c r="I88" i="4"/>
  <c r="H88" i="4"/>
  <c r="G88" i="4"/>
  <c r="F88" i="4"/>
  <c r="E88" i="4"/>
  <c r="D88" i="4"/>
  <c r="S81" i="4"/>
  <c r="R81" i="4"/>
  <c r="Q81" i="4"/>
  <c r="P81" i="4"/>
  <c r="O81" i="4"/>
  <c r="N81" i="4"/>
  <c r="M81" i="4"/>
  <c r="L81" i="4"/>
  <c r="K81" i="4"/>
  <c r="J81" i="4"/>
  <c r="I81" i="4"/>
  <c r="H81" i="4"/>
  <c r="G81" i="4"/>
  <c r="F81" i="4"/>
  <c r="E81" i="4"/>
  <c r="D81" i="4"/>
  <c r="S80" i="4"/>
  <c r="R80" i="4"/>
  <c r="Q80" i="4"/>
  <c r="P80" i="4"/>
  <c r="O80" i="4"/>
  <c r="N80" i="4"/>
  <c r="M80" i="4"/>
  <c r="L80" i="4"/>
  <c r="K80" i="4"/>
  <c r="J80" i="4"/>
  <c r="I80" i="4"/>
  <c r="H80" i="4"/>
  <c r="G80" i="4"/>
  <c r="F80" i="4"/>
  <c r="E80" i="4"/>
  <c r="D80" i="4"/>
  <c r="S79" i="4"/>
  <c r="R79" i="4"/>
  <c r="Q79" i="4"/>
  <c r="P79" i="4"/>
  <c r="O79" i="4"/>
  <c r="N79" i="4"/>
  <c r="M79" i="4"/>
  <c r="L79" i="4"/>
  <c r="K79" i="4"/>
  <c r="J79" i="4"/>
  <c r="I79" i="4"/>
  <c r="H79" i="4"/>
  <c r="G79" i="4"/>
  <c r="F79" i="4"/>
  <c r="E79" i="4"/>
  <c r="D79" i="4"/>
  <c r="S18" i="4"/>
  <c r="R18" i="4"/>
  <c r="Q18" i="4"/>
  <c r="P18" i="4"/>
  <c r="O18" i="4"/>
  <c r="N18" i="4"/>
  <c r="M18" i="4"/>
  <c r="L18" i="4"/>
  <c r="K18" i="4"/>
  <c r="J18" i="4"/>
  <c r="I18" i="4"/>
  <c r="H18" i="4"/>
  <c r="G18" i="4"/>
  <c r="F18" i="4"/>
  <c r="E18" i="4"/>
  <c r="D18" i="4"/>
  <c r="S17" i="4"/>
  <c r="R17" i="4"/>
  <c r="Q17" i="4"/>
  <c r="P17" i="4"/>
  <c r="O17" i="4"/>
  <c r="N17" i="4"/>
  <c r="M17" i="4"/>
  <c r="L17" i="4"/>
  <c r="K17" i="4"/>
  <c r="J17" i="4"/>
  <c r="I17" i="4"/>
  <c r="H17" i="4"/>
  <c r="G17" i="4"/>
  <c r="F17" i="4"/>
  <c r="E17" i="4"/>
  <c r="D17" i="4"/>
  <c r="S16" i="4"/>
  <c r="R16" i="4"/>
  <c r="Q16" i="4"/>
  <c r="P16" i="4"/>
  <c r="O16" i="4"/>
  <c r="N16" i="4"/>
  <c r="M16" i="4"/>
  <c r="L16" i="4"/>
  <c r="K16" i="4"/>
  <c r="J16" i="4"/>
  <c r="I16" i="4"/>
  <c r="H16" i="4"/>
  <c r="G16" i="4"/>
  <c r="F16" i="4"/>
  <c r="E16" i="4"/>
  <c r="D16" i="4"/>
  <c r="S54" i="4"/>
  <c r="R54" i="4"/>
  <c r="Q54" i="4"/>
  <c r="P54" i="4"/>
  <c r="O54" i="4"/>
  <c r="N54" i="4"/>
  <c r="M54" i="4"/>
  <c r="L54" i="4"/>
  <c r="K54" i="4"/>
  <c r="J54" i="4"/>
  <c r="I54" i="4"/>
  <c r="H54" i="4"/>
  <c r="G54" i="4"/>
  <c r="F54" i="4"/>
  <c r="E54" i="4"/>
  <c r="D54" i="4"/>
  <c r="S53" i="4"/>
  <c r="R53" i="4"/>
  <c r="Q53" i="4"/>
  <c r="P53" i="4"/>
  <c r="O53" i="4"/>
  <c r="N53" i="4"/>
  <c r="M53" i="4"/>
  <c r="L53" i="4"/>
  <c r="K53" i="4"/>
  <c r="J53" i="4"/>
  <c r="I53" i="4"/>
  <c r="H53" i="4"/>
  <c r="G53" i="4"/>
  <c r="F53" i="4"/>
  <c r="E53" i="4"/>
  <c r="D53" i="4"/>
  <c r="S52" i="4"/>
  <c r="R52" i="4"/>
  <c r="Q52" i="4"/>
  <c r="P52" i="4"/>
  <c r="O52" i="4"/>
  <c r="N52" i="4"/>
  <c r="M52" i="4"/>
  <c r="L52" i="4"/>
  <c r="K52" i="4"/>
  <c r="J52" i="4"/>
  <c r="I52" i="4"/>
  <c r="H52" i="4"/>
  <c r="G52" i="4"/>
  <c r="F52" i="4"/>
  <c r="E52" i="4"/>
  <c r="D52" i="4"/>
  <c r="S36" i="4"/>
  <c r="R36" i="4"/>
  <c r="Q36" i="4"/>
  <c r="P36" i="4"/>
  <c r="O36" i="4"/>
  <c r="N36" i="4"/>
  <c r="M36" i="4"/>
  <c r="L36" i="4"/>
  <c r="K36" i="4"/>
  <c r="J36" i="4"/>
  <c r="I36" i="4"/>
  <c r="H36" i="4"/>
  <c r="G36" i="4"/>
  <c r="F36" i="4"/>
  <c r="E36" i="4"/>
  <c r="D36" i="4"/>
  <c r="S35" i="4"/>
  <c r="R35" i="4"/>
  <c r="Q35" i="4"/>
  <c r="P35" i="4"/>
  <c r="O35" i="4"/>
  <c r="N35" i="4"/>
  <c r="M35" i="4"/>
  <c r="L35" i="4"/>
  <c r="K35" i="4"/>
  <c r="J35" i="4"/>
  <c r="I35" i="4"/>
  <c r="H35" i="4"/>
  <c r="G35" i="4"/>
  <c r="F35" i="4"/>
  <c r="E35" i="4"/>
  <c r="D35" i="4"/>
  <c r="S34" i="4"/>
  <c r="R34" i="4"/>
  <c r="Q34" i="4"/>
  <c r="P34" i="4"/>
  <c r="O34" i="4"/>
  <c r="N34" i="4"/>
  <c r="M34" i="4"/>
  <c r="L34" i="4"/>
  <c r="K34" i="4"/>
  <c r="J34" i="4"/>
  <c r="I34" i="4"/>
  <c r="H34" i="4"/>
  <c r="G34" i="4"/>
  <c r="F34" i="4"/>
  <c r="E34" i="4"/>
  <c r="D34" i="4"/>
  <c r="S27" i="4"/>
  <c r="R27" i="4"/>
  <c r="Q27" i="4"/>
  <c r="P27" i="4"/>
  <c r="O27" i="4"/>
  <c r="N27" i="4"/>
  <c r="M27" i="4"/>
  <c r="L27" i="4"/>
  <c r="K27" i="4"/>
  <c r="J27" i="4"/>
  <c r="I27" i="4"/>
  <c r="H27" i="4"/>
  <c r="G27" i="4"/>
  <c r="F27" i="4"/>
  <c r="E27" i="4"/>
  <c r="D27" i="4"/>
  <c r="S26" i="4"/>
  <c r="R26" i="4"/>
  <c r="Q26" i="4"/>
  <c r="P26" i="4"/>
  <c r="O26" i="4"/>
  <c r="N26" i="4"/>
  <c r="M26" i="4"/>
  <c r="L26" i="4"/>
  <c r="K26" i="4"/>
  <c r="J26" i="4"/>
  <c r="I26" i="4"/>
  <c r="H26" i="4"/>
  <c r="G26" i="4"/>
  <c r="F26" i="4"/>
  <c r="E26" i="4"/>
  <c r="D26" i="4"/>
  <c r="S25" i="4"/>
  <c r="R25" i="4"/>
  <c r="Q25" i="4"/>
  <c r="P25" i="4"/>
  <c r="O25" i="4"/>
  <c r="N25" i="4"/>
  <c r="M25" i="4"/>
  <c r="L25" i="4"/>
  <c r="K25" i="4"/>
  <c r="J25" i="4"/>
  <c r="I25" i="4"/>
  <c r="H25" i="4"/>
  <c r="G25" i="4"/>
  <c r="F25" i="4"/>
  <c r="E25" i="4"/>
  <c r="D25" i="4"/>
  <c r="S9" i="4"/>
  <c r="R9" i="4"/>
  <c r="Q9" i="4"/>
  <c r="P9" i="4"/>
  <c r="O9" i="4"/>
  <c r="N9" i="4"/>
  <c r="M9" i="4"/>
  <c r="L9" i="4"/>
  <c r="K9" i="4"/>
  <c r="J9" i="4"/>
  <c r="I9" i="4"/>
  <c r="H9" i="4"/>
  <c r="G9" i="4"/>
  <c r="F9" i="4"/>
  <c r="E9" i="4"/>
  <c r="D9" i="4"/>
  <c r="S8" i="4"/>
  <c r="R8" i="4"/>
  <c r="Q8" i="4"/>
  <c r="P8" i="4"/>
  <c r="O8" i="4"/>
  <c r="N8" i="4"/>
  <c r="M8" i="4"/>
  <c r="L8" i="4"/>
  <c r="K8" i="4"/>
  <c r="J8" i="4"/>
  <c r="I8" i="4"/>
  <c r="H8" i="4"/>
  <c r="G8" i="4"/>
  <c r="F8" i="4"/>
  <c r="E8" i="4"/>
  <c r="D8" i="4"/>
  <c r="S7" i="4"/>
  <c r="R7" i="4"/>
  <c r="Q7" i="4"/>
  <c r="P7" i="4"/>
  <c r="O7" i="4"/>
  <c r="N7" i="4"/>
  <c r="M7" i="4"/>
  <c r="L7" i="4"/>
  <c r="K7" i="4"/>
  <c r="J7" i="4"/>
  <c r="I7" i="4"/>
  <c r="H7" i="4"/>
  <c r="G7" i="4"/>
  <c r="F7" i="4"/>
  <c r="E7" i="4"/>
  <c r="D7" i="4"/>
  <c r="S63" i="4"/>
  <c r="R63" i="4"/>
  <c r="Q63" i="4"/>
  <c r="P63" i="4"/>
  <c r="O63" i="4"/>
  <c r="N63" i="4"/>
  <c r="M63" i="4"/>
  <c r="L63" i="4"/>
  <c r="K63" i="4"/>
  <c r="J63" i="4"/>
  <c r="I63" i="4"/>
  <c r="H63" i="4"/>
  <c r="G63" i="4"/>
  <c r="F63" i="4"/>
  <c r="E63" i="4"/>
  <c r="D63" i="4"/>
  <c r="S62" i="4"/>
  <c r="R62" i="4"/>
  <c r="Q62" i="4"/>
  <c r="P62" i="4"/>
  <c r="O62" i="4"/>
  <c r="N62" i="4"/>
  <c r="M62" i="4"/>
  <c r="L62" i="4"/>
  <c r="K62" i="4"/>
  <c r="J62" i="4"/>
  <c r="I62" i="4"/>
  <c r="H62" i="4"/>
  <c r="G62" i="4"/>
  <c r="F62" i="4"/>
  <c r="E62" i="4"/>
  <c r="D62" i="4"/>
  <c r="S61" i="4"/>
  <c r="R61" i="4"/>
  <c r="Q61" i="4"/>
  <c r="P61" i="4"/>
  <c r="O61" i="4"/>
  <c r="N61" i="4"/>
  <c r="M61" i="4"/>
  <c r="L61" i="4"/>
  <c r="K61" i="4"/>
  <c r="G17" i="1" s="1" a="1"/>
  <c r="G17" i="1" s="1"/>
  <c r="J61" i="4"/>
  <c r="I61" i="4"/>
  <c r="H61" i="4"/>
  <c r="G61" i="4"/>
  <c r="F61" i="4"/>
  <c r="E61" i="4"/>
  <c r="D61" i="4"/>
  <c r="G16" i="1" l="1" a="1"/>
  <c r="G16" i="1" s="1"/>
  <c r="M37" i="3"/>
  <c r="M43" i="3"/>
  <c r="M30" i="3"/>
  <c r="M32" i="3"/>
  <c r="M34" i="3"/>
  <c r="M40" i="3"/>
  <c r="M44" i="3"/>
  <c r="M46" i="3"/>
  <c r="K3" i="3"/>
  <c r="K4" i="3"/>
  <c r="K5" i="3"/>
  <c r="K6" i="3"/>
  <c r="K7" i="3"/>
  <c r="K8" i="3"/>
  <c r="K9" i="3"/>
  <c r="K10" i="3"/>
  <c r="K11" i="3"/>
  <c r="K12" i="3"/>
  <c r="K13" i="3"/>
  <c r="K14" i="3"/>
  <c r="K15" i="3"/>
  <c r="K16" i="3"/>
  <c r="K17" i="3"/>
  <c r="K18" i="3"/>
  <c r="K19" i="3"/>
  <c r="K20" i="3"/>
  <c r="K21" i="3"/>
  <c r="K22" i="3"/>
  <c r="K23" i="3"/>
  <c r="K24" i="3"/>
  <c r="K25" i="3"/>
  <c r="K26" i="3"/>
  <c r="N37" i="3" l="1"/>
  <c r="N43" i="3"/>
  <c r="N30" i="3"/>
  <c r="N32" i="3"/>
  <c r="N34" i="3"/>
  <c r="N40" i="3"/>
  <c r="N44" i="3"/>
  <c r="N46" i="3"/>
  <c r="F62" i="3"/>
  <c r="G62" i="3" s="1"/>
  <c r="F63" i="3"/>
  <c r="G63" i="3" s="1"/>
  <c r="F61" i="3"/>
  <c r="G61" i="3" s="1"/>
  <c r="H61" i="3" s="1"/>
  <c r="I61" i="3" s="1"/>
  <c r="J61" i="3" s="1"/>
  <c r="H60" i="3"/>
  <c r="F59" i="3"/>
  <c r="G59" i="3" s="1"/>
  <c r="F58" i="3"/>
  <c r="G58" i="3" s="1"/>
  <c r="O37" i="3" l="1"/>
  <c r="O43" i="3"/>
  <c r="O30" i="3"/>
  <c r="O32" i="3"/>
  <c r="O34" i="3"/>
  <c r="O40" i="3"/>
  <c r="O44" i="3"/>
  <c r="O46" i="3"/>
  <c r="I60" i="3"/>
  <c r="H63" i="3"/>
  <c r="H58" i="3"/>
  <c r="H59" i="3"/>
  <c r="H9" i="20" l="1"/>
  <c r="P37" i="3"/>
  <c r="P43" i="3"/>
  <c r="P30" i="3"/>
  <c r="P32" i="3"/>
  <c r="P34" i="3"/>
  <c r="P40" i="3"/>
  <c r="P44" i="3"/>
  <c r="P46" i="3"/>
  <c r="J60" i="3"/>
  <c r="I58" i="3"/>
  <c r="J58" i="3" s="1"/>
  <c r="I59" i="3"/>
  <c r="I63" i="3"/>
  <c r="Q44" i="3" l="1"/>
  <c r="Q32" i="3"/>
  <c r="Q46" i="3"/>
  <c r="Q37" i="3"/>
  <c r="Q43" i="3"/>
  <c r="Q30" i="3"/>
  <c r="Q34" i="3"/>
  <c r="Q40" i="3"/>
  <c r="J63" i="3"/>
  <c r="J59" i="3"/>
  <c r="R30" i="3" l="1"/>
  <c r="R32" i="3"/>
  <c r="R34" i="3"/>
  <c r="R40" i="3"/>
  <c r="R44" i="3"/>
  <c r="R46" i="3"/>
  <c r="R37" i="3"/>
  <c r="R43" i="3"/>
  <c r="S30" i="3" l="1"/>
  <c r="S32" i="3"/>
  <c r="S34" i="3"/>
  <c r="S40" i="3"/>
  <c r="S44" i="3"/>
  <c r="S46" i="3"/>
  <c r="S37" i="3"/>
  <c r="S43" i="3"/>
  <c r="H17" i="1"/>
  <c r="H16" i="1"/>
  <c r="T30" i="3" l="1"/>
  <c r="T32" i="3"/>
  <c r="T34" i="3"/>
  <c r="T40" i="3"/>
  <c r="T44" i="3"/>
  <c r="T46" i="3"/>
  <c r="T37" i="3"/>
  <c r="T43" i="3"/>
  <c r="C32" i="1"/>
  <c r="C33" i="1"/>
  <c r="D54" i="3"/>
  <c r="H8" i="20" l="1"/>
  <c r="H15" i="20" s="1"/>
  <c r="U37" i="3"/>
  <c r="U30" i="3"/>
  <c r="U32" i="3"/>
  <c r="U34" i="3"/>
  <c r="U40" i="3"/>
  <c r="U44" i="3"/>
  <c r="U46" i="3"/>
  <c r="U43" i="3"/>
  <c r="K21" i="1"/>
  <c r="K27" i="1" s="1"/>
  <c r="H17" i="20" l="1"/>
  <c r="H18" i="20"/>
  <c r="D17" i="1"/>
  <c r="E17" i="1" s="1"/>
  <c r="D16" i="1"/>
  <c r="E16" i="1" s="1"/>
  <c r="I16" i="1" l="1"/>
  <c r="K16" i="1" s="1"/>
  <c r="I17" i="1"/>
  <c r="K17" i="1" s="1"/>
  <c r="K23" i="1" l="1"/>
  <c r="K26" i="1" s="1"/>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Clemson</author>
  </authors>
  <commentList>
    <comment ref="A2" authorId="0" shapeId="0" xr:uid="{00000000-0006-0000-0100-000001000000}">
      <text>
        <r>
          <rPr>
            <b/>
            <sz val="9"/>
            <color indexed="81"/>
            <rFont val="Tahoma"/>
            <family val="2"/>
          </rPr>
          <t>CO CPDC:</t>
        </r>
        <r>
          <rPr>
            <sz val="9"/>
            <color indexed="81"/>
            <rFont val="Tahoma"/>
            <family val="2"/>
          </rPr>
          <t xml:space="preserve">
Select your campus from the pull down menu. - This selection will affect which climate zone is used for the model, as well as campus specific GHG emission factors, and energy use intensity (EUI).</t>
        </r>
      </text>
    </comment>
    <comment ref="A3" authorId="0" shapeId="0" xr:uid="{00000000-0006-0000-0100-000002000000}">
      <text>
        <r>
          <rPr>
            <b/>
            <sz val="9"/>
            <color indexed="81"/>
            <rFont val="Tahoma"/>
            <family val="2"/>
          </rPr>
          <t>CO CPDC:</t>
        </r>
        <r>
          <rPr>
            <sz val="9"/>
            <color indexed="81"/>
            <rFont val="Tahoma"/>
            <family val="2"/>
          </rPr>
          <t xml:space="preserve">
If the project is a New Building, the campus emissions will increase, if it is a Demo and Replace, or Major MEP (Mechanical/Electrical/Plumbing) Renovation it may decrease emissions based on building type changes or changes in square footage.</t>
        </r>
      </text>
    </comment>
    <comment ref="A7" authorId="0" shapeId="0" xr:uid="{00000000-0006-0000-0100-000003000000}">
      <text>
        <r>
          <rPr>
            <b/>
            <sz val="9"/>
            <color indexed="81"/>
            <rFont val="Tahoma"/>
            <family val="2"/>
          </rPr>
          <t>CO CPDC:</t>
        </r>
        <r>
          <rPr>
            <sz val="9"/>
            <color indexed="81"/>
            <rFont val="Tahoma"/>
            <family val="2"/>
          </rPr>
          <t xml:space="preserve">
Actual metered energy usage is preferred to estimate, if available the model will use that instead of an estimate. Use only for Renovations or Demo and Replace projects.</t>
        </r>
      </text>
    </comment>
    <comment ref="A8" authorId="0" shapeId="0" xr:uid="{00000000-0006-0000-0100-000004000000}">
      <text>
        <r>
          <rPr>
            <b/>
            <sz val="9"/>
            <color indexed="81"/>
            <rFont val="Tahoma"/>
            <family val="2"/>
          </rPr>
          <t>CO CPDC:</t>
        </r>
        <r>
          <rPr>
            <sz val="9"/>
            <color indexed="81"/>
            <rFont val="Tahoma"/>
            <family val="2"/>
          </rPr>
          <t xml:space="preserve">
Actual metered energy usage is preferred to estimate, if available the model will use that instead of an estimate. Use only for Renovations or Demo and Replace projects.</t>
        </r>
      </text>
    </comment>
    <comment ref="A9" authorId="0" shapeId="0" xr:uid="{00000000-0006-0000-0100-000005000000}">
      <text>
        <r>
          <rPr>
            <b/>
            <sz val="9"/>
            <color indexed="81"/>
            <rFont val="Tahoma"/>
            <family val="2"/>
          </rPr>
          <t>CO CPDC:</t>
        </r>
        <r>
          <rPr>
            <sz val="9"/>
            <color indexed="81"/>
            <rFont val="Tahoma"/>
            <family val="2"/>
          </rPr>
          <t xml:space="preserve">
The date that your building will start being used. This is used to determine what year to start comparing the building's GHG emissions.</t>
        </r>
      </text>
    </comment>
    <comment ref="A10" authorId="0" shapeId="0" xr:uid="{00000000-0006-0000-0100-000006000000}">
      <text>
        <r>
          <rPr>
            <b/>
            <sz val="9"/>
            <color indexed="81"/>
            <rFont val="Tahoma"/>
            <family val="2"/>
          </rPr>
          <t>CO CPDC:</t>
        </r>
        <r>
          <rPr>
            <sz val="9"/>
            <color indexed="81"/>
            <rFont val="Tahoma"/>
            <family val="2"/>
          </rPr>
          <t xml:space="preserve">
The total existing GSF (gross square footage) of the building. This field is only used to calculate the Title 24 back check, which is used to assess the resonability of building energy use, not for calculating emissions.</t>
        </r>
      </text>
    </comment>
    <comment ref="A11" authorId="0" shapeId="0" xr:uid="{00000000-0006-0000-0100-000007000000}">
      <text>
        <r>
          <rPr>
            <b/>
            <sz val="9"/>
            <color indexed="81"/>
            <rFont val="Tahoma"/>
            <family val="2"/>
          </rPr>
          <t>CO CPDC:</t>
        </r>
        <r>
          <rPr>
            <sz val="9"/>
            <color indexed="81"/>
            <rFont val="Tahoma"/>
            <family val="2"/>
          </rPr>
          <t xml:space="preserve">
The year the design was approved for construction. This is usually determined by the date on the plans.</t>
        </r>
      </text>
    </comment>
    <comment ref="A12" authorId="0" shapeId="0" xr:uid="{00000000-0006-0000-0100-000008000000}">
      <text>
        <r>
          <rPr>
            <b/>
            <sz val="9"/>
            <color indexed="81"/>
            <rFont val="Tahoma"/>
            <family val="2"/>
          </rPr>
          <t>CO CPDC:</t>
        </r>
        <r>
          <rPr>
            <sz val="9"/>
            <color indexed="81"/>
            <rFont val="Tahoma"/>
            <family val="2"/>
          </rPr>
          <t xml:space="preserve">
This is a pull down menu for facilities types. Select the option that best fits what the majority of the building is used for. These space types are based off of Title 24 buildings. This field is also only used for the Title 24 back check.</t>
        </r>
      </text>
    </comment>
    <comment ref="A13" authorId="0" shapeId="0" xr:uid="{00000000-0006-0000-0100-000009000000}">
      <text>
        <r>
          <rPr>
            <b/>
            <sz val="9"/>
            <color indexed="81"/>
            <rFont val="Tahoma"/>
            <family val="2"/>
          </rPr>
          <t>CO CPDC:</t>
        </r>
        <r>
          <rPr>
            <sz val="9"/>
            <color indexed="81"/>
            <rFont val="Tahoma"/>
            <family val="2"/>
          </rPr>
          <t xml:space="preserve">
Percent difference between this building and your campus average EUI, a positive value is more energy intensive, a negative is less. If you are comparing a science building it will likely be more energy intensive than the rest of your campus, a classroom building would be less energy intensive. Adjusting this up or down to calibrate the building to your campus EUI.
Examples:
  -20% for faculty offices used ~3,000 hours annually
  -10% for classrooms or offices used ~4,500 hours annually
  +20% for student unions, recreation centers, or science buildings used ~5,500 hours annually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Clemson</author>
  </authors>
  <commentList>
    <comment ref="A2" authorId="0" shapeId="0" xr:uid="{00000000-0006-0000-0200-000001000000}">
      <text>
        <r>
          <rPr>
            <b/>
            <sz val="9"/>
            <color indexed="81"/>
            <rFont val="Tahoma"/>
            <family val="2"/>
          </rPr>
          <t>CO CPDC:</t>
        </r>
        <r>
          <rPr>
            <sz val="9"/>
            <color indexed="81"/>
            <rFont val="Tahoma"/>
            <family val="2"/>
          </rPr>
          <t xml:space="preserve">
Select your campus from the pull down menu. - This selection will affect which climate zone is used for the model, as well as campus specific GHG emission factors, and energy use intensity (EUI).</t>
        </r>
      </text>
    </comment>
    <comment ref="D7" authorId="0" shapeId="0" xr:uid="{00000000-0006-0000-0200-000002000000}">
      <text>
        <r>
          <rPr>
            <b/>
            <sz val="9"/>
            <color indexed="81"/>
            <rFont val="Tahoma"/>
            <family val="2"/>
          </rPr>
          <t>CO CPDC:</t>
        </r>
        <r>
          <rPr>
            <sz val="9"/>
            <color indexed="81"/>
            <rFont val="Tahoma"/>
            <family val="2"/>
          </rPr>
          <t xml:space="preserve">
The energy usage of the affected campus, building, or system before the project.</t>
        </r>
      </text>
    </comment>
    <comment ref="E7" authorId="0" shapeId="0" xr:uid="{00000000-0006-0000-0200-000003000000}">
      <text>
        <r>
          <rPr>
            <b/>
            <sz val="9"/>
            <color indexed="81"/>
            <rFont val="Tahoma"/>
            <family val="2"/>
          </rPr>
          <t>CO CPDC:</t>
        </r>
        <r>
          <rPr>
            <sz val="9"/>
            <color indexed="81"/>
            <rFont val="Tahoma"/>
            <family val="2"/>
          </rPr>
          <t xml:space="preserve">
The energy usage of the affected campus, building, or system after the project has completed.</t>
        </r>
      </text>
    </comment>
  </commentList>
</comments>
</file>

<file path=xl/sharedStrings.xml><?xml version="1.0" encoding="utf-8"?>
<sst xmlns="http://schemas.openxmlformats.org/spreadsheetml/2006/main" count="438" uniqueCount="168">
  <si>
    <t>Unit</t>
  </si>
  <si>
    <t>Projected Bldg/Facility Annual  Usage</t>
  </si>
  <si>
    <t>Net Change Bldg/Facility Annual Usage</t>
  </si>
  <si>
    <r>
      <t>CO</t>
    </r>
    <r>
      <rPr>
        <vertAlign val="subscript"/>
        <sz val="11"/>
        <color rgb="FF000000"/>
        <rFont val="Calibri"/>
        <family val="2"/>
      </rPr>
      <t xml:space="preserve">2 </t>
    </r>
    <r>
      <rPr>
        <sz val="11"/>
        <color rgb="FF000000"/>
        <rFont val="Calibri"/>
        <family val="2"/>
      </rPr>
      <t>Conversion Factor</t>
    </r>
  </si>
  <si>
    <r>
      <t>Net Change (Metric Tons of CO</t>
    </r>
    <r>
      <rPr>
        <vertAlign val="subscript"/>
        <sz val="11"/>
        <color rgb="FF000000"/>
        <rFont val="Calibri"/>
        <family val="2"/>
      </rPr>
      <t>2)</t>
    </r>
  </si>
  <si>
    <t>Project Total</t>
  </si>
  <si>
    <t>kWh</t>
  </si>
  <si>
    <r>
      <t>Totals (Metric Tons of CO</t>
    </r>
    <r>
      <rPr>
        <vertAlign val="subscript"/>
        <sz val="11"/>
        <color rgb="FF000000"/>
        <rFont val="Calibri"/>
        <family val="2"/>
      </rPr>
      <t>2)</t>
    </r>
  </si>
  <si>
    <t>Campus</t>
  </si>
  <si>
    <t>Bakersfield</t>
  </si>
  <si>
    <t>Chancellor's Office</t>
  </si>
  <si>
    <t>Channel Islands</t>
  </si>
  <si>
    <t>Chico</t>
  </si>
  <si>
    <t>Dominguez Hills</t>
  </si>
  <si>
    <t>East Bay</t>
  </si>
  <si>
    <t>Fresno</t>
  </si>
  <si>
    <t>Fullerton</t>
  </si>
  <si>
    <t>Humboldt</t>
  </si>
  <si>
    <t>Long Beach</t>
  </si>
  <si>
    <t>Los Angeles</t>
  </si>
  <si>
    <t>Maritime Academy</t>
  </si>
  <si>
    <t>Monterey Bay</t>
  </si>
  <si>
    <t>Northridge</t>
  </si>
  <si>
    <t>Pomona</t>
  </si>
  <si>
    <t>Sacramento</t>
  </si>
  <si>
    <t>San Bernardino</t>
  </si>
  <si>
    <t>San Diego</t>
  </si>
  <si>
    <t>San Francisco</t>
  </si>
  <si>
    <t>San Jose</t>
  </si>
  <si>
    <t>San Luis Obispo</t>
  </si>
  <si>
    <t>San Marcos</t>
  </si>
  <si>
    <t>Sonoma</t>
  </si>
  <si>
    <t>Stanislaus</t>
  </si>
  <si>
    <t>Emission Year</t>
  </si>
  <si>
    <t>1990 Campus GHG Emissions</t>
  </si>
  <si>
    <t>Type of Project</t>
  </si>
  <si>
    <t>Building Type</t>
  </si>
  <si>
    <t>New Building</t>
  </si>
  <si>
    <t>Old Building</t>
  </si>
  <si>
    <t>Site Energy EUI (kBtu/ft²)</t>
  </si>
  <si>
    <t>Building</t>
  </si>
  <si>
    <t>Vintage</t>
  </si>
  <si>
    <t>CZ-01</t>
  </si>
  <si>
    <t>CZ-02</t>
  </si>
  <si>
    <t>CZ-03</t>
  </si>
  <si>
    <t>CZ-04</t>
  </si>
  <si>
    <t>CZ-05</t>
  </si>
  <si>
    <t>CZ-06</t>
  </si>
  <si>
    <t>CZ-07</t>
  </si>
  <si>
    <t>CZ-08</t>
  </si>
  <si>
    <t>CZ-09</t>
  </si>
  <si>
    <t>CZ-10</t>
  </si>
  <si>
    <t>CZ-11</t>
  </si>
  <si>
    <t>CZ-12</t>
  </si>
  <si>
    <t>CZ-13</t>
  </si>
  <si>
    <t>CZ-14</t>
  </si>
  <si>
    <t>CZ-15</t>
  </si>
  <si>
    <t>CZ-16</t>
  </si>
  <si>
    <t>retrofit</t>
  </si>
  <si>
    <t>Medical Office</t>
  </si>
  <si>
    <t>Warehouse</t>
  </si>
  <si>
    <t>Climate Zone</t>
  </si>
  <si>
    <t>Electricity Use Ratio</t>
  </si>
  <si>
    <t>Gas Use Ratio</t>
  </si>
  <si>
    <t>New Building Energy Use Intensity</t>
  </si>
  <si>
    <t>Energy Code Year</t>
  </si>
  <si>
    <t>Projected Occupancy Date</t>
  </si>
  <si>
    <t>ESP</t>
  </si>
  <si>
    <t>PG&amp;E</t>
  </si>
  <si>
    <t>SCE</t>
  </si>
  <si>
    <t>LADWP</t>
  </si>
  <si>
    <t>SDG&amp;E</t>
  </si>
  <si>
    <t>TID</t>
  </si>
  <si>
    <t>SMUD</t>
  </si>
  <si>
    <t>Academic</t>
  </si>
  <si>
    <t>Science</t>
  </si>
  <si>
    <t>Parking Structure</t>
  </si>
  <si>
    <t>Therm</t>
  </si>
  <si>
    <t>Office</t>
  </si>
  <si>
    <t>Residence Hall</t>
  </si>
  <si>
    <t>Dining</t>
  </si>
  <si>
    <t>Rec Center/Student Union</t>
  </si>
  <si>
    <t>Retail</t>
  </si>
  <si>
    <t>SoCal Gas</t>
  </si>
  <si>
    <t>LBGO</t>
  </si>
  <si>
    <t>Actual Energy Use</t>
  </si>
  <si>
    <t>Energy Code Estimated Usage</t>
  </si>
  <si>
    <t>Campus EUI Actual</t>
  </si>
  <si>
    <t>Old Building EUI Adjustment</t>
  </si>
  <si>
    <t>Metered Building kWh</t>
  </si>
  <si>
    <t>Metered Building Therms</t>
  </si>
  <si>
    <t>Estimated EUI</t>
  </si>
  <si>
    <t>Electric Emission Factors</t>
  </si>
  <si>
    <t>Natural Gas Emission Factors</t>
  </si>
  <si>
    <t>Electric Renewable Content</t>
  </si>
  <si>
    <t>Natural Gas Renewable Content</t>
  </si>
  <si>
    <t xml:space="preserve">lbs CO2 &gt; M-Tons CO2 Conversion Factor </t>
  </si>
  <si>
    <t>Estimated Use</t>
  </si>
  <si>
    <t>CPDC Form 1-4.5   Capital Projects GHG Impacts Calculator</t>
  </si>
  <si>
    <t>12,345,000    A calculated cell, values generated by formula. Do not overwrite.</t>
  </si>
  <si>
    <t xml:space="preserve">[ Blue Text ]   Data Entry Cell.  Insert project information as indicated. </t>
  </si>
  <si>
    <t>SELECT   V    A drop down list box. Use to enter campus specific information.</t>
  </si>
  <si>
    <t>[Green Text]    Data output cell. Transfer data from this cell to the project information worksheet (CPDC 1-4 Section F).</t>
  </si>
  <si>
    <t>SELECT CAMPUS</t>
  </si>
  <si>
    <t>Therms</t>
  </si>
  <si>
    <t>SELECT BUILDING TYPE</t>
  </si>
  <si>
    <t>2040 Emissions Reduction Goal (80% below 1990)</t>
  </si>
  <si>
    <t>Project</t>
  </si>
  <si>
    <t>Projected Completion Date</t>
  </si>
  <si>
    <t>System Energy Consumption before Project</t>
  </si>
  <si>
    <t>Estimated System Energy Usage After Project</t>
  </si>
  <si>
    <t>Legend</t>
  </si>
  <si>
    <t>[kWh]</t>
  </si>
  <si>
    <t>[Therms]</t>
  </si>
  <si>
    <t>[kWh before]</t>
  </si>
  <si>
    <t>[kWh after]</t>
  </si>
  <si>
    <t>[Therms before]</t>
  </si>
  <si>
    <t>[Therms after]</t>
  </si>
  <si>
    <t>Total Campus GHG Emissions upon project completion (H12+H15)</t>
  </si>
  <si>
    <t>Emissions Reduction to reach 2040 goal (H12-H13)</t>
  </si>
  <si>
    <t>The Capital Worksheet is for new construction, major renovations, demo and replace projects, and demolitions. This worksheet will estimate the change in greenhouse gas emissions from a change in square footage, change in program, or a new building. 
The Facilities Renewal Worksheet is for renewable energy, or energy efficiency projects. This worksheet will calculate the reductions in greenhouse gas emissions from the installation of renewable energy systems, or an energy efficiency project.</t>
  </si>
  <si>
    <t>Capital Worksheet</t>
  </si>
  <si>
    <t>Facilities Renewal Worksheet</t>
  </si>
  <si>
    <t>Instructions: Which Tab to Use?</t>
  </si>
  <si>
    <r>
      <t xml:space="preserve">e. Existing Building EUI Adjustment - Percent difference between this building and your campus average EUI, a positive value is more energy intensive, a negative is less. If you are comparing a science building it will likely be more energy intensive than the rest of your campus, a classroom building would be less energy intensive. Adjusting this up or down to calibrate the building to your campus EUI.
Examples:
</t>
    </r>
    <r>
      <rPr>
        <i/>
        <sz val="11"/>
        <color theme="1"/>
        <rFont val="Calibri"/>
        <family val="2"/>
        <scheme val="minor"/>
      </rPr>
      <t xml:space="preserve">  -20% for faculty offices used ~3,000 hours annually
  -10% for classrooms or offices used ~4,500 hours annually
  +20% for student unions, recreation centers, or science buildings used ~5,500 hours annually</t>
    </r>
  </si>
  <si>
    <r>
      <rPr>
        <b/>
        <sz val="11"/>
        <color theme="1"/>
        <rFont val="Calibri"/>
        <family val="2"/>
        <scheme val="minor"/>
      </rPr>
      <t>1.</t>
    </r>
    <r>
      <rPr>
        <sz val="11"/>
        <color theme="1"/>
        <rFont val="Calibri"/>
        <family val="2"/>
        <scheme val="minor"/>
      </rPr>
      <t xml:space="preserve"> Line 2: Select your campus from the pull down menu. - This selection will affect which climate zone is used for the model, as well as campus specific GHG emission factors, and energy use intensity (EUI).</t>
    </r>
  </si>
  <si>
    <r>
      <rPr>
        <b/>
        <sz val="11"/>
        <color theme="1"/>
        <rFont val="Calibri"/>
        <family val="2"/>
        <scheme val="minor"/>
      </rPr>
      <t>2.</t>
    </r>
    <r>
      <rPr>
        <sz val="11"/>
        <color theme="1"/>
        <rFont val="Calibri"/>
        <family val="2"/>
        <scheme val="minor"/>
      </rPr>
      <t xml:space="preserve"> Line 3: Select project type - If the project is a New Building, the campus emissions will increase, if it is a Demo and Replace, or Major MEP (Mechanical/Electrical/Plumbing) Renovation it may decrease emissions based on building type changes or changes in square footage.</t>
    </r>
  </si>
  <si>
    <r>
      <rPr>
        <b/>
        <sz val="11"/>
        <color theme="1"/>
        <rFont val="Calibri"/>
        <family val="2"/>
        <scheme val="minor"/>
      </rPr>
      <t>3.</t>
    </r>
    <r>
      <rPr>
        <sz val="11"/>
        <color theme="1"/>
        <rFont val="Calibri"/>
        <family val="2"/>
        <scheme val="minor"/>
      </rPr>
      <t xml:space="preserve"> Existing Building - Lines 5-12, Col C: Enter Existing Building Information (If Applicable)</t>
    </r>
  </si>
  <si>
    <r>
      <rPr>
        <b/>
        <sz val="11"/>
        <color theme="1"/>
        <rFont val="Calibri"/>
        <family val="2"/>
        <scheme val="minor"/>
      </rPr>
      <t>a</t>
    </r>
    <r>
      <rPr>
        <sz val="11"/>
        <color theme="1"/>
        <rFont val="Calibri"/>
        <family val="2"/>
        <scheme val="minor"/>
      </rPr>
      <t>. Metered Energy Usage - Actual metered energy usage is preferred to estimate, if available the model will use that instead of an estimate.</t>
    </r>
  </si>
  <si>
    <r>
      <rPr>
        <b/>
        <sz val="11"/>
        <color theme="1"/>
        <rFont val="Calibri"/>
        <family val="2"/>
        <scheme val="minor"/>
      </rPr>
      <t>d.</t>
    </r>
    <r>
      <rPr>
        <sz val="11"/>
        <color theme="1"/>
        <rFont val="Calibri"/>
        <family val="2"/>
        <scheme val="minor"/>
      </rPr>
      <t xml:space="preserve"> Building Type - Line 11 C: This is a pull down menu for facilities types. Select the option that best fits what the majority of the building is used for. These space types are based off of Title 24 buildings. This field is also only used for the Title 24 back check.</t>
    </r>
  </si>
  <si>
    <r>
      <rPr>
        <b/>
        <sz val="11"/>
        <color theme="1"/>
        <rFont val="Calibri"/>
        <family val="2"/>
        <scheme val="minor"/>
      </rPr>
      <t>a.</t>
    </r>
    <r>
      <rPr>
        <sz val="11"/>
        <color theme="1"/>
        <rFont val="Calibri"/>
        <family val="2"/>
        <scheme val="minor"/>
      </rPr>
      <t xml:space="preserve"> Projected Occupancy Date - The date that your building will start being used. This is used to determine what year to start comparing the building's GHG emissions.</t>
    </r>
  </si>
  <si>
    <r>
      <rPr>
        <b/>
        <sz val="11"/>
        <color theme="1"/>
        <rFont val="Calibri"/>
        <family val="2"/>
        <scheme val="minor"/>
      </rPr>
      <t>4</t>
    </r>
    <r>
      <rPr>
        <sz val="11"/>
        <color theme="1"/>
        <rFont val="Calibri"/>
        <family val="2"/>
        <scheme val="minor"/>
      </rPr>
      <t>. New Building - Lines 5-11, Col D: Enter New Building Information (If Applicable)</t>
    </r>
  </si>
  <si>
    <r>
      <rPr>
        <b/>
        <sz val="11"/>
        <color theme="1"/>
        <rFont val="Calibri"/>
        <family val="2"/>
        <scheme val="minor"/>
      </rPr>
      <t>b.</t>
    </r>
    <r>
      <rPr>
        <sz val="11"/>
        <color theme="1"/>
        <rFont val="Calibri"/>
        <family val="2"/>
        <scheme val="minor"/>
      </rPr>
      <t xml:space="preserve"> Energy Code Year - The year the design will be submitted to plan check. This will determine what the expected future Title 24 code year will be.  For future facilities use the year of Preliminary Design.</t>
    </r>
  </si>
  <si>
    <r>
      <rPr>
        <b/>
        <sz val="11"/>
        <color theme="1"/>
        <rFont val="Calibri"/>
        <family val="2"/>
        <scheme val="minor"/>
      </rPr>
      <t>c.</t>
    </r>
    <r>
      <rPr>
        <sz val="11"/>
        <color theme="1"/>
        <rFont val="Calibri"/>
        <family val="2"/>
        <scheme val="minor"/>
      </rPr>
      <t xml:space="preserve"> Building Type - Line 11 D: This is a pull down menu for facilities types. Select the option that best fits what the majority of the building will be used for. This will help calculate the estimated energy usage of the new building. </t>
    </r>
  </si>
  <si>
    <r>
      <rPr>
        <b/>
        <sz val="11"/>
        <color theme="1"/>
        <rFont val="Calibri"/>
        <family val="2"/>
        <scheme val="minor"/>
      </rPr>
      <t>5.</t>
    </r>
    <r>
      <rPr>
        <sz val="11"/>
        <color theme="1"/>
        <rFont val="Calibri"/>
        <family val="2"/>
        <scheme val="minor"/>
      </rPr>
      <t xml:space="preserve"> Emissions Output Data -Lines 18-22, Col. K:</t>
    </r>
  </si>
  <si>
    <r>
      <rPr>
        <b/>
        <sz val="11"/>
        <color theme="1"/>
        <rFont val="Calibri"/>
        <family val="2"/>
        <scheme val="minor"/>
      </rPr>
      <t xml:space="preserve">a. </t>
    </r>
    <r>
      <rPr>
        <sz val="11"/>
        <color theme="1"/>
        <rFont val="Calibri"/>
        <family val="2"/>
        <scheme val="minor"/>
      </rPr>
      <t>Transfer data from cells K18-K22 to CPDC form 1-4, Section F to complete GHG Emissions reporting.</t>
    </r>
  </si>
  <si>
    <r>
      <rPr>
        <b/>
        <sz val="11"/>
        <color theme="1"/>
        <rFont val="Calibri"/>
        <family val="2"/>
        <scheme val="minor"/>
      </rPr>
      <t>2.</t>
    </r>
    <r>
      <rPr>
        <sz val="11"/>
        <color theme="1"/>
        <rFont val="Calibri"/>
        <family val="2"/>
        <scheme val="minor"/>
      </rPr>
      <t xml:space="preserve"> Line 3: Type the title of the project.</t>
    </r>
  </si>
  <si>
    <r>
      <rPr>
        <b/>
        <sz val="11"/>
        <color theme="1"/>
        <rFont val="Calibri"/>
        <family val="2"/>
        <scheme val="minor"/>
      </rPr>
      <t>3.</t>
    </r>
    <r>
      <rPr>
        <sz val="11"/>
        <color theme="1"/>
        <rFont val="Calibri"/>
        <family val="2"/>
        <scheme val="minor"/>
      </rPr>
      <t xml:space="preserve"> Line 5: Project Completion Date - Input the date that the project will become operational or be completed. This will determine the GHG emissions factor.</t>
    </r>
  </si>
  <si>
    <r>
      <rPr>
        <b/>
        <sz val="11"/>
        <color theme="1"/>
        <rFont val="Calibri"/>
        <family val="2"/>
        <scheme val="minor"/>
      </rPr>
      <t>4.</t>
    </r>
    <r>
      <rPr>
        <sz val="11"/>
        <color theme="1"/>
        <rFont val="Calibri"/>
        <family val="2"/>
        <scheme val="minor"/>
      </rPr>
      <t xml:space="preserve"> Line 8-9: System Energy Consumption before Project - The energy usage of the affected campus, building, or system before the project.</t>
    </r>
  </si>
  <si>
    <r>
      <rPr>
        <b/>
        <sz val="11"/>
        <color theme="1"/>
        <rFont val="Calibri"/>
        <family val="2"/>
        <scheme val="minor"/>
      </rPr>
      <t>5.</t>
    </r>
    <r>
      <rPr>
        <sz val="11"/>
        <color theme="1"/>
        <rFont val="Calibri"/>
        <family val="2"/>
        <scheme val="minor"/>
      </rPr>
      <t xml:space="preserve"> Line 8-9: Estimated System Energy Usage After Project - The energy usage of the affected campus, building, or system after the project has completed.</t>
    </r>
  </si>
  <si>
    <r>
      <rPr>
        <b/>
        <sz val="11"/>
        <color theme="1"/>
        <rFont val="Calibri"/>
        <family val="2"/>
        <scheme val="minor"/>
      </rPr>
      <t>6.</t>
    </r>
    <r>
      <rPr>
        <sz val="11"/>
        <color theme="1"/>
        <rFont val="Calibri"/>
        <family val="2"/>
        <scheme val="minor"/>
      </rPr>
      <t xml:space="preserve"> Emissions Output Data -Lines 11-19, Col. K:
     a. Transfer data from cells H11-19 to CPDC form 1-4, Section F to complete GHG Emissions reporting.</t>
    </r>
  </si>
  <si>
    <r>
      <rPr>
        <b/>
        <sz val="11"/>
        <color theme="1"/>
        <rFont val="Calibri"/>
        <family val="2"/>
        <scheme val="minor"/>
      </rPr>
      <t>c.</t>
    </r>
    <r>
      <rPr>
        <sz val="11"/>
        <color theme="1"/>
        <rFont val="Calibri"/>
        <family val="2"/>
        <scheme val="minor"/>
      </rPr>
      <t xml:space="preserve"> Energy Code Year - The year the design was approved for construction. This is usually determined by the date on the plans.</t>
    </r>
  </si>
  <si>
    <t>! Enter a metered usage for both utilities</t>
  </si>
  <si>
    <t>! Enter a Projected Occupancy Date</t>
  </si>
  <si>
    <t>! Enter the Energy Code Year for the old and new building</t>
  </si>
  <si>
    <t>! Enter the old and new Building Type</t>
  </si>
  <si>
    <t>! Enter an Old Building EUI Adjustment</t>
  </si>
  <si>
    <t>! Select your Campus</t>
  </si>
  <si>
    <t>! Select the Project Type</t>
  </si>
  <si>
    <t>Gross Square Footage</t>
  </si>
  <si>
    <t>! Enter the building GSF for before and after the project</t>
  </si>
  <si>
    <r>
      <rPr>
        <b/>
        <sz val="11"/>
        <color theme="1"/>
        <rFont val="Calibri"/>
        <family val="2"/>
        <scheme val="minor"/>
      </rPr>
      <t>b.</t>
    </r>
    <r>
      <rPr>
        <sz val="11"/>
        <color theme="1"/>
        <rFont val="Calibri"/>
        <family val="2"/>
        <scheme val="minor"/>
      </rPr>
      <t xml:space="preserve"> Gross Square Footage -  The total existing GSF (gross square footage) of the building. This field is only used to calculate the Title 24 back check, which is used to assess the reasonability of building energy use, not for calculating emissions.</t>
    </r>
  </si>
  <si>
    <t>August 2020 Update</t>
  </si>
  <si>
    <t>2019/20 kWh MMBTU/GSF</t>
  </si>
  <si>
    <t>2019/20 Therm MMBTU/GSF</t>
  </si>
  <si>
    <t>Emissions Reduction to reach 2030 goal of 1990 levels (H12+H15)-H11</t>
  </si>
  <si>
    <t>SELECT PROJECT TYPE</t>
  </si>
  <si>
    <t>[Project name]</t>
  </si>
  <si>
    <t>[mm/dd/yyyy]</t>
  </si>
  <si>
    <t>[Sq ft]</t>
  </si>
  <si>
    <t>[Year]</t>
  </si>
  <si>
    <t>[Percent]</t>
  </si>
  <si>
    <t>Total Campus GHG Emissions upon project completion (K19+K23)</t>
  </si>
  <si>
    <t>Emissions Reduction to reach 2040 goal (K19-K21)</t>
  </si>
  <si>
    <t>Emissions Reduction to reach 2030 goal of 1990 levels (K19+K23)-K20</t>
  </si>
  <si>
    <t>2040 Campus Emissions Goal (80% below 1990)</t>
  </si>
  <si>
    <t>2030 Campus Emissions Goal (50% below 1990)</t>
  </si>
  <si>
    <t>This model estimates the changes in campus scope 1 and 2 greenhouse gas (GHG) emissions due to proposed changes in campus facility type, size, and uses. The data generated by this model should be transferred to the project information worksheet, CPDC Form 1-4, Section F.
The estimated energy use of a new building will be compared to the energy usage of the existing building the project intends to replace. For new buildings the change in energy use will be the total new building energy use. Demolished buildings will see a decrease in energy use by the entire building energy use.
Current building energy use is either calculated using campus-submitted Monthly Energy Report data or entered from utility meter data. New building energy use is estimated using projected Title 24 energy intensity levels for the building type.
GHG emissions are calculated using the emission factor of the electric utility campuses are served by, this includes those with large cogens or renewable generation. Future emissions factors are calculated from utility commitments and state statute. The net change in emissions is compared to the most recent year of calculated emissions for each campus and compared to their emission reduction goal (50% below 1990 levels by 2020, or 65% below 2006 for campuses that did not exist in 1990).
An Energy Use Intensity factor (EUI) is used to adjust Existing Building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</si>
</sst>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
    <numFmt numFmtId="166" formatCode="0.0%"/>
    <numFmt numFmtId="167" formatCode="0.00000"/>
  </numFmts>
  <fonts count="25">
    <font>
      <sz val="11"/>
      <color theme="1"/>
      <name val="Calibri"/>
      <family val="2"/>
      <scheme val="minor"/>
    </font>
    <font>
      <sz val="10"/>
      <color theme="1"/>
      <name val="Times New Roman"/>
      <family val="1"/>
    </font>
    <font>
      <sz val="11"/>
      <color rgb="FF000000"/>
      <name val="Calibri"/>
      <family val="2"/>
    </font>
    <font>
      <vertAlign val="subscript"/>
      <sz val="11"/>
      <color rgb="FF000000"/>
      <name val="Calibri"/>
      <family val="2"/>
    </font>
    <font>
      <b/>
      <sz val="11"/>
      <color theme="1"/>
      <name val="Calibri"/>
      <family val="2"/>
      <scheme val="minor"/>
    </font>
    <font>
      <sz val="10"/>
      <color theme="1"/>
      <name val="Calibri"/>
      <family val="2"/>
      <scheme val="minor"/>
    </font>
    <font>
      <sz val="10"/>
      <name val="Geneva"/>
    </font>
    <font>
      <sz val="10"/>
      <name val="Arial"/>
      <family val="2"/>
    </font>
    <font>
      <sz val="14"/>
      <color theme="1"/>
      <name val="Calibri"/>
      <family val="2"/>
      <scheme val="minor"/>
    </font>
    <font>
      <b/>
      <sz val="10"/>
      <color rgb="FF0000FF"/>
      <name val="Arial"/>
      <family val="2"/>
    </font>
    <font>
      <sz val="12"/>
      <color theme="1"/>
      <name val="Calibri"/>
      <family val="2"/>
      <scheme val="minor"/>
    </font>
    <font>
      <sz val="11"/>
      <color theme="1"/>
      <name val="Calibri"/>
      <family val="2"/>
      <scheme val="minor"/>
    </font>
    <font>
      <b/>
      <sz val="11"/>
      <name val="Calibri"/>
      <family val="2"/>
      <scheme val="minor"/>
    </font>
    <font>
      <b/>
      <sz val="8"/>
      <color rgb="FF0000FF"/>
      <name val="Arial"/>
      <family val="2"/>
    </font>
    <font>
      <b/>
      <sz val="11"/>
      <color rgb="FF000000"/>
      <name val="Calibri"/>
      <family val="2"/>
    </font>
    <font>
      <b/>
      <sz val="14"/>
      <color theme="1"/>
      <name val="Calibri"/>
      <family val="2"/>
      <scheme val="minor"/>
    </font>
    <font>
      <b/>
      <sz val="20"/>
      <color theme="1"/>
      <name val="Calibri"/>
      <family val="2"/>
      <scheme val="minor"/>
    </font>
    <font>
      <b/>
      <sz val="18"/>
      <color theme="1"/>
      <name val="Calibri"/>
      <family val="2"/>
      <scheme val="minor"/>
    </font>
    <font>
      <b/>
      <sz val="12"/>
      <name val="Arial"/>
      <family val="2"/>
    </font>
    <font>
      <sz val="9"/>
      <color rgb="FF0000FF"/>
      <name val="Arial"/>
      <family val="2"/>
    </font>
    <font>
      <i/>
      <sz val="11"/>
      <color theme="1"/>
      <name val="Calibri"/>
      <family val="2"/>
      <scheme val="minor"/>
    </font>
    <font>
      <b/>
      <sz val="11"/>
      <color theme="0"/>
      <name val="Calibri"/>
      <family val="2"/>
      <scheme val="minor"/>
    </font>
    <font>
      <b/>
      <sz val="11"/>
      <color rgb="FFFF0000"/>
      <name val="Calibri"/>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rgb="FFA5A5A5"/>
        <bgColor indexed="64"/>
      </patternFill>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99CC00"/>
        <bgColor indexed="64"/>
      </patternFill>
    </fill>
    <fill>
      <patternFill patternType="solid">
        <fgColor theme="0"/>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59999389629810485"/>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9" fontId="6" fillId="0" borderId="0" applyFont="0" applyFill="0" applyBorder="0" applyAlignment="0" applyProtection="0"/>
    <xf numFmtId="0" fontId="7" fillId="0" borderId="0"/>
    <xf numFmtId="9" fontId="11" fillId="0" borderId="0" applyFont="0" applyFill="0" applyBorder="0" applyAlignment="0" applyProtection="0"/>
    <xf numFmtId="0" fontId="7" fillId="0" borderId="0"/>
  </cellStyleXfs>
  <cellXfs count="127">
    <xf numFmtId="0" fontId="0" fillId="0" borderId="0" xfId="0"/>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3" fontId="0" fillId="0" borderId="0" xfId="0" applyNumberFormat="1"/>
    <xf numFmtId="3" fontId="0" fillId="0" borderId="4" xfId="0" applyNumberFormat="1" applyBorder="1" applyAlignment="1">
      <alignment vertical="center"/>
    </xf>
    <xf numFmtId="4" fontId="0" fillId="0" borderId="4" xfId="0" applyNumberFormat="1" applyBorder="1" applyAlignment="1">
      <alignment vertical="center"/>
    </xf>
    <xf numFmtId="164" fontId="2" fillId="0" borderId="4" xfId="0" applyNumberFormat="1" applyFont="1" applyBorder="1" applyAlignment="1">
      <alignment horizontal="center" vertical="center"/>
    </xf>
    <xf numFmtId="0" fontId="5" fillId="0" borderId="14" xfId="0" applyFont="1" applyBorder="1"/>
    <xf numFmtId="3" fontId="5" fillId="0" borderId="15" xfId="0" applyNumberFormat="1" applyFont="1" applyBorder="1"/>
    <xf numFmtId="3" fontId="5" fillId="0" borderId="16" xfId="0" applyNumberFormat="1" applyFont="1" applyBorder="1"/>
    <xf numFmtId="3" fontId="5" fillId="0" borderId="17" xfId="0" applyNumberFormat="1" applyFont="1" applyBorder="1"/>
    <xf numFmtId="0" fontId="5" fillId="0" borderId="18" xfId="0" applyFont="1" applyBorder="1"/>
    <xf numFmtId="3" fontId="5" fillId="0" borderId="19" xfId="0" applyNumberFormat="1" applyFont="1" applyBorder="1"/>
    <xf numFmtId="3" fontId="5" fillId="0" borderId="0" xfId="0" applyNumberFormat="1" applyFont="1"/>
    <xf numFmtId="3" fontId="5" fillId="0" borderId="20" xfId="0" applyNumberFormat="1" applyFont="1" applyBorder="1"/>
    <xf numFmtId="0" fontId="5" fillId="0" borderId="18" xfId="0" applyFont="1" applyBorder="1" applyAlignment="1">
      <alignment horizontal="right"/>
    </xf>
    <xf numFmtId="0" fontId="5" fillId="0" borderId="21" xfId="0" applyFont="1" applyBorder="1" applyAlignment="1">
      <alignment horizontal="right"/>
    </xf>
    <xf numFmtId="3" fontId="5" fillId="0" borderId="22" xfId="0" applyNumberFormat="1" applyFont="1" applyBorder="1"/>
    <xf numFmtId="3" fontId="5" fillId="0" borderId="23" xfId="0" applyNumberFormat="1" applyFont="1" applyBorder="1"/>
    <xf numFmtId="3" fontId="5" fillId="0" borderId="24" xfId="0" applyNumberFormat="1" applyFont="1" applyBorder="1"/>
    <xf numFmtId="165" fontId="0" fillId="0" borderId="0" xfId="0" applyNumberFormat="1"/>
    <xf numFmtId="0" fontId="0" fillId="0" borderId="0" xfId="0" applyAlignment="1">
      <alignment horizontal="right"/>
    </xf>
    <xf numFmtId="2" fontId="2" fillId="0" borderId="4" xfId="0" applyNumberFormat="1" applyFont="1" applyBorder="1" applyAlignment="1">
      <alignment horizontal="center" vertical="center"/>
    </xf>
    <xf numFmtId="1" fontId="0" fillId="0" borderId="0" xfId="0" applyNumberFormat="1"/>
    <xf numFmtId="9" fontId="0" fillId="0" borderId="0" xfId="0" applyNumberFormat="1"/>
    <xf numFmtId="0" fontId="0" fillId="0" borderId="0" xfId="0" applyAlignment="1">
      <alignment horizontal="left"/>
    </xf>
    <xf numFmtId="0" fontId="5" fillId="0" borderId="14" xfId="0" applyFont="1" applyBorder="1" applyAlignment="1">
      <alignment horizontal="center"/>
    </xf>
    <xf numFmtId="0" fontId="5" fillId="0" borderId="14" xfId="0" applyFont="1" applyBorder="1" applyAlignment="1">
      <alignment wrapText="1"/>
    </xf>
    <xf numFmtId="0" fontId="5" fillId="0" borderId="15" xfId="0" applyFont="1" applyBorder="1" applyAlignment="1">
      <alignment horizontal="right" wrapText="1"/>
    </xf>
    <xf numFmtId="0" fontId="5" fillId="0" borderId="16" xfId="0" applyFont="1" applyBorder="1" applyAlignment="1">
      <alignment horizontal="right" wrapText="1"/>
    </xf>
    <xf numFmtId="0" fontId="5" fillId="0" borderId="17" xfId="0" applyFont="1" applyBorder="1" applyAlignment="1">
      <alignment horizontal="right"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166" fontId="0" fillId="0" borderId="0" xfId="0" applyNumberFormat="1"/>
    <xf numFmtId="0" fontId="0" fillId="0" borderId="0" xfId="0" applyAlignment="1">
      <alignment wrapText="1"/>
    </xf>
    <xf numFmtId="9" fontId="0" fillId="3" borderId="0" xfId="0" applyNumberFormat="1" applyFill="1"/>
    <xf numFmtId="167" fontId="0" fillId="0" borderId="0" xfId="0" applyNumberFormat="1"/>
    <xf numFmtId="3" fontId="0" fillId="0" borderId="1" xfId="0" applyNumberFormat="1" applyBorder="1" applyAlignment="1">
      <alignment vertical="center"/>
    </xf>
    <xf numFmtId="3" fontId="0" fillId="0" borderId="2" xfId="0" applyNumberFormat="1" applyBorder="1" applyAlignment="1">
      <alignment vertical="center"/>
    </xf>
    <xf numFmtId="3" fontId="0" fillId="0" borderId="3" xfId="0" applyNumberFormat="1" applyBorder="1" applyAlignment="1">
      <alignment vertical="center"/>
    </xf>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1" fillId="0" borderId="25" xfId="0" applyFont="1" applyBorder="1" applyAlignment="1">
      <alignment vertical="center"/>
    </xf>
    <xf numFmtId="0" fontId="2" fillId="0" borderId="1" xfId="0" applyFont="1" applyBorder="1" applyAlignment="1">
      <alignment vertical="center" wrapText="1"/>
    </xf>
    <xf numFmtId="0" fontId="0" fillId="0" borderId="0" xfId="0" applyAlignment="1">
      <alignment vertical="top" wrapText="1"/>
    </xf>
    <xf numFmtId="0" fontId="8" fillId="0" borderId="0" xfId="0" applyFont="1" applyAlignment="1">
      <alignment horizontal="center"/>
    </xf>
    <xf numFmtId="3" fontId="9" fillId="0" borderId="23" xfId="0" applyNumberFormat="1" applyFont="1" applyBorder="1" applyAlignment="1" applyProtection="1">
      <alignment horizontal="right" vertical="center"/>
      <protection locked="0"/>
    </xf>
    <xf numFmtId="3" fontId="9" fillId="0" borderId="12" xfId="0" applyNumberFormat="1" applyFont="1" applyBorder="1" applyAlignment="1" applyProtection="1">
      <alignment horizontal="right" vertical="center"/>
      <protection locked="0"/>
    </xf>
    <xf numFmtId="1" fontId="9" fillId="0" borderId="12" xfId="0" applyNumberFormat="1" applyFont="1" applyBorder="1" applyAlignment="1" applyProtection="1">
      <alignment horizontal="right" vertical="center"/>
      <protection locked="0"/>
    </xf>
    <xf numFmtId="9" fontId="9" fillId="0" borderId="12" xfId="4" applyFont="1" applyBorder="1" applyAlignment="1" applyProtection="1">
      <alignment horizontal="right" vertical="center"/>
      <protection locked="0"/>
    </xf>
    <xf numFmtId="0" fontId="13" fillId="9" borderId="12" xfId="0" applyFont="1" applyFill="1" applyBorder="1" applyAlignment="1" applyProtection="1">
      <alignment horizontal="left" vertical="center"/>
      <protection locked="0"/>
    </xf>
    <xf numFmtId="14" fontId="9" fillId="0" borderId="23" xfId="0" applyNumberFormat="1" applyFont="1" applyBorder="1" applyAlignment="1" applyProtection="1">
      <alignment horizontal="right" vertical="center"/>
      <protection locked="0"/>
    </xf>
    <xf numFmtId="3" fontId="1" fillId="2" borderId="4" xfId="0" applyNumberFormat="1" applyFont="1" applyFill="1" applyBorder="1" applyAlignment="1">
      <alignment vertical="center"/>
    </xf>
    <xf numFmtId="3" fontId="12" fillId="11" borderId="26" xfId="0" applyNumberFormat="1" applyFont="1" applyFill="1" applyBorder="1"/>
    <xf numFmtId="3" fontId="12" fillId="11" borderId="27" xfId="0" applyNumberFormat="1" applyFont="1" applyFill="1" applyBorder="1"/>
    <xf numFmtId="3" fontId="12" fillId="0" borderId="27" xfId="0" applyNumberFormat="1" applyFont="1" applyBorder="1"/>
    <xf numFmtId="0" fontId="2" fillId="12" borderId="10" xfId="0" applyFont="1" applyFill="1" applyBorder="1" applyAlignment="1">
      <alignment horizontal="right" vertical="center"/>
    </xf>
    <xf numFmtId="0" fontId="2" fillId="12" borderId="6" xfId="0" applyFont="1" applyFill="1" applyBorder="1" applyAlignment="1">
      <alignment horizontal="right" vertical="center"/>
    </xf>
    <xf numFmtId="0" fontId="2" fillId="12" borderId="2" xfId="0" applyFont="1" applyFill="1" applyBorder="1" applyAlignment="1">
      <alignment horizontal="right" vertical="center"/>
    </xf>
    <xf numFmtId="0" fontId="9" fillId="0" borderId="0" xfId="0" applyFont="1" applyAlignment="1" applyProtection="1">
      <alignment horizontal="center" vertical="center"/>
      <protection locked="0"/>
    </xf>
    <xf numFmtId="3" fontId="9" fillId="0" borderId="1" xfId="0" applyNumberFormat="1" applyFont="1" applyBorder="1" applyAlignment="1" applyProtection="1">
      <alignment horizontal="center" vertical="center"/>
      <protection locked="0"/>
    </xf>
    <xf numFmtId="0" fontId="0" fillId="0" borderId="0" xfId="0" applyAlignment="1">
      <alignment horizontal="left" vertical="top" wrapText="1"/>
    </xf>
    <xf numFmtId="3" fontId="12" fillId="0" borderId="28" xfId="0" applyNumberFormat="1" applyFont="1" applyBorder="1"/>
    <xf numFmtId="14" fontId="9" fillId="0" borderId="0" xfId="0" applyNumberFormat="1" applyFont="1" applyAlignment="1" applyProtection="1">
      <alignment horizontal="right" vertical="center"/>
      <protection locked="0"/>
    </xf>
    <xf numFmtId="0" fontId="7" fillId="0" borderId="0" xfId="0" applyFont="1" applyAlignment="1">
      <alignment vertical="center"/>
    </xf>
    <xf numFmtId="0" fontId="15" fillId="15" borderId="29" xfId="0" applyFont="1" applyFill="1" applyBorder="1" applyAlignment="1">
      <alignment horizontal="center"/>
    </xf>
    <xf numFmtId="0" fontId="0" fillId="0" borderId="18" xfId="0" applyBorder="1" applyAlignment="1">
      <alignment horizontal="left" vertical="top" wrapText="1" indent="1"/>
    </xf>
    <xf numFmtId="0" fontId="0" fillId="0" borderId="18" xfId="0" applyBorder="1" applyAlignment="1">
      <alignment horizontal="left" indent="1"/>
    </xf>
    <xf numFmtId="0" fontId="0" fillId="0" borderId="21" xfId="0" applyBorder="1" applyAlignment="1">
      <alignment horizontal="left" indent="1"/>
    </xf>
    <xf numFmtId="0" fontId="0" fillId="0" borderId="19" xfId="0" applyBorder="1" applyAlignment="1">
      <alignment horizontal="left" vertical="top" wrapText="1" indent="1"/>
    </xf>
    <xf numFmtId="0" fontId="0" fillId="0" borderId="0" xfId="0" applyAlignment="1">
      <alignment horizontal="left" vertical="top" wrapText="1" indent="1"/>
    </xf>
    <xf numFmtId="0" fontId="0" fillId="0" borderId="19" xfId="0" applyBorder="1" applyAlignment="1">
      <alignment horizontal="left" indent="1"/>
    </xf>
    <xf numFmtId="0" fontId="0" fillId="0" borderId="0" xfId="0" applyAlignment="1">
      <alignment horizontal="left" indent="1"/>
    </xf>
    <xf numFmtId="0" fontId="0" fillId="0" borderId="22" xfId="0" applyBorder="1" applyAlignment="1">
      <alignment horizontal="left" indent="1"/>
    </xf>
    <xf numFmtId="0" fontId="0" fillId="0" borderId="23" xfId="0" applyBorder="1" applyAlignment="1">
      <alignment horizontal="left" vertical="top" wrapText="1" indent="1"/>
    </xf>
    <xf numFmtId="0" fontId="18" fillId="0" borderId="1" xfId="0" applyFont="1" applyBorder="1" applyAlignment="1">
      <alignment vertical="center"/>
    </xf>
    <xf numFmtId="0" fontId="9" fillId="13" borderId="9" xfId="0" applyFont="1" applyFill="1" applyBorder="1" applyAlignment="1">
      <alignment vertical="center"/>
    </xf>
    <xf numFmtId="0" fontId="9" fillId="9" borderId="9" xfId="0" applyFont="1" applyFill="1" applyBorder="1" applyAlignment="1">
      <alignment vertical="center"/>
    </xf>
    <xf numFmtId="3" fontId="10" fillId="0" borderId="9" xfId="0" applyNumberFormat="1" applyFont="1" applyBorder="1"/>
    <xf numFmtId="3" fontId="19" fillId="11" borderId="3" xfId="0" applyNumberFormat="1" applyFont="1" applyFill="1" applyBorder="1" applyAlignment="1">
      <alignment vertical="center"/>
    </xf>
    <xf numFmtId="0" fontId="22" fillId="0" borderId="0" xfId="0" applyFont="1" applyAlignment="1">
      <alignment horizontal="left"/>
    </xf>
    <xf numFmtId="0" fontId="22" fillId="0" borderId="0" xfId="0" applyFont="1"/>
    <xf numFmtId="0" fontId="21" fillId="0" borderId="0" xfId="0" applyFont="1"/>
    <xf numFmtId="0" fontId="0" fillId="0" borderId="19" xfId="0" applyBorder="1" applyAlignment="1">
      <alignment horizontal="left" vertical="top" wrapText="1" indent="1"/>
    </xf>
    <xf numFmtId="0" fontId="0" fillId="0" borderId="0" xfId="0" applyAlignment="1">
      <alignment horizontal="left" vertical="top" wrapText="1" indent="1"/>
    </xf>
    <xf numFmtId="0" fontId="17" fillId="0" borderId="0" xfId="0" applyFont="1" applyAlignment="1">
      <alignment horizont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6" fillId="0" borderId="0" xfId="0" applyFont="1" applyAlignment="1">
      <alignment horizontal="center"/>
    </xf>
    <xf numFmtId="0" fontId="17" fillId="0" borderId="23" xfId="0" applyFont="1" applyBorder="1" applyAlignment="1">
      <alignment horizontal="center"/>
    </xf>
    <xf numFmtId="0" fontId="15" fillId="14" borderId="11" xfId="0" applyFont="1" applyFill="1" applyBorder="1" applyAlignment="1">
      <alignment horizontal="center"/>
    </xf>
    <xf numFmtId="0" fontId="15" fillId="14" borderId="12" xfId="0" applyFont="1" applyFill="1" applyBorder="1" applyAlignment="1">
      <alignment horizontal="center"/>
    </xf>
    <xf numFmtId="0" fontId="0" fillId="0" borderId="18" xfId="0" applyBorder="1" applyAlignment="1">
      <alignment horizontal="left" vertical="top" wrapText="1" indent="1"/>
    </xf>
    <xf numFmtId="0" fontId="9" fillId="9" borderId="12" xfId="0" applyFont="1" applyFill="1" applyBorder="1" applyAlignment="1" applyProtection="1">
      <alignment horizontal="center" vertical="center"/>
      <protection locked="0"/>
    </xf>
    <xf numFmtId="0" fontId="9" fillId="9" borderId="23" xfId="0" applyFont="1" applyFill="1" applyBorder="1" applyAlignment="1" applyProtection="1">
      <alignment horizontal="center" vertical="center"/>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12" borderId="10" xfId="0" applyFont="1" applyFill="1" applyBorder="1" applyAlignment="1">
      <alignment horizontal="right" vertical="center"/>
    </xf>
    <xf numFmtId="0" fontId="2" fillId="12" borderId="6" xfId="0" applyFont="1" applyFill="1" applyBorder="1" applyAlignment="1">
      <alignment horizontal="right" vertical="center"/>
    </xf>
    <xf numFmtId="0" fontId="2" fillId="12" borderId="2" xfId="0" applyFont="1" applyFill="1" applyBorder="1" applyAlignment="1">
      <alignment horizontal="right" vertical="center"/>
    </xf>
    <xf numFmtId="0" fontId="2" fillId="0" borderId="3" xfId="0" applyFont="1" applyBorder="1" applyAlignment="1">
      <alignment horizontal="center" vertical="center" wrapText="1"/>
    </xf>
    <xf numFmtId="0" fontId="2" fillId="12" borderId="10" xfId="0" applyFont="1" applyFill="1" applyBorder="1" applyAlignment="1">
      <alignment horizontal="right" vertical="center" wrapText="1"/>
    </xf>
    <xf numFmtId="0" fontId="2" fillId="12" borderId="6" xfId="0" applyFont="1" applyFill="1" applyBorder="1" applyAlignment="1">
      <alignment horizontal="right" vertical="center" wrapText="1"/>
    </xf>
    <xf numFmtId="0" fontId="2" fillId="12" borderId="2" xfId="0" applyFont="1" applyFill="1" applyBorder="1" applyAlignment="1">
      <alignment horizontal="right" vertical="center" wrapText="1"/>
    </xf>
    <xf numFmtId="0" fontId="14" fillId="12" borderId="10" xfId="0" applyFont="1" applyFill="1" applyBorder="1" applyAlignment="1">
      <alignment horizontal="right" vertical="center"/>
    </xf>
    <xf numFmtId="0" fontId="14" fillId="12" borderId="6" xfId="0" applyFont="1" applyFill="1" applyBorder="1" applyAlignment="1">
      <alignment horizontal="right" vertical="center"/>
    </xf>
    <xf numFmtId="0" fontId="14" fillId="12" borderId="2" xfId="0" applyFont="1" applyFill="1" applyBorder="1" applyAlignment="1">
      <alignment horizontal="right" vertical="center"/>
    </xf>
    <xf numFmtId="0" fontId="9" fillId="0" borderId="12" xfId="0" applyFont="1" applyBorder="1" applyAlignment="1" applyProtection="1">
      <alignment horizontal="center" vertical="center"/>
      <protection locked="0"/>
    </xf>
    <xf numFmtId="0" fontId="0" fillId="0" borderId="0" xfId="0"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cellXfs>
  <cellStyles count="6">
    <cellStyle name="Normal" xfId="0" builtinId="0"/>
    <cellStyle name="Normal 2" xfId="1" xr:uid="{00000000-0005-0000-0000-000001000000}"/>
    <cellStyle name="Normal 3" xfId="3" xr:uid="{00000000-0005-0000-0000-000002000000}"/>
    <cellStyle name="Normal 4" xfId="5" xr:uid="{5E62A5EC-B818-4EB4-A5B0-A5D7BC736BD6}"/>
    <cellStyle name="Percent" xfId="4" builtinId="5"/>
    <cellStyle name="Percent 2" xfId="2" xr:uid="{00000000-0005-0000-0000-000004000000}"/>
  </cellStyles>
  <dxfs count="14">
    <dxf>
      <font>
        <color theme="0" tint="-0.24994659260841701"/>
      </font>
      <fill>
        <patternFill>
          <bgColor theme="0" tint="-4.9989318521683403E-2"/>
        </patternFill>
      </fill>
    </dxf>
    <dxf>
      <font>
        <color theme="0" tint="-0.24994659260841701"/>
      </font>
      <fill>
        <patternFill>
          <bgColor theme="0" tint="-4.9989318521683403E-2"/>
        </patternFill>
      </fill>
    </dxf>
    <dxf>
      <font>
        <color theme="0"/>
      </font>
    </dxf>
    <dxf>
      <font>
        <color theme="0"/>
      </font>
    </dxf>
    <dxf>
      <font>
        <color theme="0"/>
      </font>
    </dxf>
    <dxf>
      <font>
        <color theme="0"/>
      </font>
    </dxf>
    <dxf>
      <font>
        <color theme="0" tint="-0.24994659260841701"/>
      </font>
      <fill>
        <patternFill>
          <bgColor theme="0" tint="-4.9989318521683403E-2"/>
        </patternFill>
      </fill>
    </dxf>
    <dxf>
      <font>
        <b/>
        <i val="0"/>
        <color rgb="FFFF0000"/>
      </font>
    </dxf>
    <dxf>
      <font>
        <color theme="0"/>
      </font>
    </dxf>
    <dxf>
      <font>
        <color theme="0"/>
      </font>
    </dxf>
    <dxf>
      <font>
        <color theme="0" tint="-0.14996795556505021"/>
      </font>
    </dxf>
    <dxf>
      <font>
        <color theme="0" tint="-0.24994659260841701"/>
      </font>
      <fill>
        <patternFill>
          <bgColor theme="0" tint="-4.9989318521683403E-2"/>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csu.sharepoint.com/Users/erchan/AppData/Local/Microsoft/Windows/Temporary%20Internet%20Files/Content.Outlook/462S4B12/CPDC%20Form%201-4%205%20GHG%20Emission%20Worksheet%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ecsu.sharepoint.com/sites/CPDC/Shared%20Documents/Energy%20Server/Sustainability/Climate%20Action_Emissions/Emissions%20Report/Utility%20Emissions/Emission%20Fac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ital Worksheet"/>
      <sheetName val="Facilities Renewal Worksheet"/>
      <sheetName val="EUI"/>
      <sheetName val="Campus Emission Factors"/>
      <sheetName val="Campus CZ"/>
      <sheetName val="Historical Campus Emissions "/>
    </sheetNames>
    <sheetDataSet>
      <sheetData sheetId="0"/>
      <sheetData sheetId="1" refreshError="1"/>
      <sheetData sheetId="2" refreshError="1"/>
      <sheetData sheetId="3">
        <row r="3">
          <cell r="V3" t="str">
            <v>SELECT BUILDING TYPE</v>
          </cell>
        </row>
        <row r="4">
          <cell r="V4" t="str">
            <v>Academic</v>
          </cell>
        </row>
        <row r="5">
          <cell r="V5" t="str">
            <v>Dining</v>
          </cell>
        </row>
        <row r="6">
          <cell r="V6" t="str">
            <v>Medical Office</v>
          </cell>
        </row>
        <row r="7">
          <cell r="V7" t="str">
            <v>Office</v>
          </cell>
        </row>
        <row r="8">
          <cell r="V8" t="str">
            <v>Parking Structure</v>
          </cell>
        </row>
        <row r="9">
          <cell r="V9" t="str">
            <v>Rec Center/Student Union</v>
          </cell>
        </row>
        <row r="10">
          <cell r="V10" t="str">
            <v>Residence Hall</v>
          </cell>
        </row>
        <row r="11">
          <cell r="V11" t="str">
            <v>Retail</v>
          </cell>
        </row>
        <row r="12">
          <cell r="V12" t="str">
            <v>Science</v>
          </cell>
        </row>
        <row r="13">
          <cell r="V13" t="str">
            <v>Warehouse</v>
          </cell>
        </row>
      </sheetData>
      <sheetData sheetId="4" refreshError="1"/>
      <sheetData sheetId="5" refreshError="1"/>
      <sheetData sheetId="6">
        <row r="3">
          <cell r="A3" t="str">
            <v>SELECT CAMPUS</v>
          </cell>
        </row>
        <row r="4">
          <cell r="A4" t="str">
            <v>Bakersfield</v>
          </cell>
        </row>
        <row r="5">
          <cell r="A5" t="str">
            <v>Chancellor's Office</v>
          </cell>
        </row>
        <row r="6">
          <cell r="A6" t="str">
            <v>Channel Islands</v>
          </cell>
        </row>
        <row r="7">
          <cell r="A7" t="str">
            <v>Chico</v>
          </cell>
        </row>
        <row r="8">
          <cell r="A8" t="str">
            <v>Dominguez Hills</v>
          </cell>
        </row>
        <row r="9">
          <cell r="A9" t="str">
            <v>East Bay</v>
          </cell>
        </row>
        <row r="10">
          <cell r="A10" t="str">
            <v>Fresno</v>
          </cell>
        </row>
        <row r="11">
          <cell r="A11" t="str">
            <v>Fullerton</v>
          </cell>
        </row>
        <row r="12">
          <cell r="A12" t="str">
            <v>Humboldt</v>
          </cell>
        </row>
        <row r="13">
          <cell r="A13" t="str">
            <v>Long Beach</v>
          </cell>
        </row>
        <row r="14">
          <cell r="A14" t="str">
            <v>Los Angeles</v>
          </cell>
        </row>
        <row r="15">
          <cell r="A15" t="str">
            <v>Maritime Academy</v>
          </cell>
        </row>
        <row r="16">
          <cell r="A16" t="str">
            <v>Monterey Bay</v>
          </cell>
        </row>
        <row r="17">
          <cell r="A17" t="str">
            <v>Northridge</v>
          </cell>
        </row>
        <row r="18">
          <cell r="A18" t="str">
            <v>Pomona</v>
          </cell>
        </row>
        <row r="19">
          <cell r="A19" t="str">
            <v>Sacramento</v>
          </cell>
        </row>
        <row r="20">
          <cell r="A20" t="str">
            <v>San Bernardino</v>
          </cell>
        </row>
        <row r="21">
          <cell r="A21" t="str">
            <v>San Diego</v>
          </cell>
        </row>
        <row r="22">
          <cell r="A22" t="str">
            <v>San Francisco</v>
          </cell>
        </row>
        <row r="23">
          <cell r="A23" t="str">
            <v>San Jose</v>
          </cell>
        </row>
        <row r="24">
          <cell r="A24" t="str">
            <v>San Luis Obispo</v>
          </cell>
        </row>
        <row r="25">
          <cell r="A25" t="str">
            <v>San Marcos</v>
          </cell>
        </row>
        <row r="26">
          <cell r="A26" t="str">
            <v>Sonoma</v>
          </cell>
        </row>
        <row r="27">
          <cell r="A27" t="str">
            <v>Stanislaus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s Factors"/>
      <sheetName val="EGRID"/>
      <sheetName val="Utility Conversion"/>
      <sheetName val="Power Mix"/>
      <sheetName val="1-4.5"/>
    </sheetNames>
    <sheetDataSet>
      <sheetData sheetId="0">
        <row r="2">
          <cell r="B2" t="str">
            <v>PG&amp;E</v>
          </cell>
          <cell r="C2" t="str">
            <v>SCE</v>
          </cell>
          <cell r="D2" t="str">
            <v>LADWP</v>
          </cell>
          <cell r="E2" t="str">
            <v>SMUD</v>
          </cell>
          <cell r="F2" t="str">
            <v>SDG&amp;E</v>
          </cell>
          <cell r="G2" t="str">
            <v>TID</v>
          </cell>
          <cell r="H2" t="str">
            <v>ESP</v>
          </cell>
        </row>
        <row r="3">
          <cell r="A3">
            <v>1990</v>
          </cell>
          <cell r="B3">
            <v>1383.9770510927772</v>
          </cell>
          <cell r="C3">
            <v>1067.13435147528</v>
          </cell>
          <cell r="D3">
            <v>1576.4484737703001</v>
          </cell>
          <cell r="E3">
            <v>853</v>
          </cell>
          <cell r="F3">
            <v>1067.13435147528</v>
          </cell>
          <cell r="G3">
            <v>682.48</v>
          </cell>
          <cell r="H3"/>
        </row>
        <row r="4">
          <cell r="A4">
            <v>1991</v>
          </cell>
          <cell r="B4">
            <v>1383.9770510927772</v>
          </cell>
          <cell r="C4">
            <v>1067.13435147528</v>
          </cell>
          <cell r="D4">
            <v>1576.4484737703001</v>
          </cell>
          <cell r="E4">
            <v>779</v>
          </cell>
          <cell r="F4">
            <v>1067.13435147528</v>
          </cell>
          <cell r="G4">
            <v>682.48</v>
          </cell>
          <cell r="H4"/>
        </row>
        <row r="5">
          <cell r="A5">
            <v>1992</v>
          </cell>
          <cell r="B5">
            <v>1383.9770510927772</v>
          </cell>
          <cell r="C5">
            <v>1067.13435147528</v>
          </cell>
          <cell r="D5">
            <v>1576.4484737703001</v>
          </cell>
          <cell r="E5">
            <v>781</v>
          </cell>
          <cell r="F5">
            <v>1067.13435147528</v>
          </cell>
          <cell r="G5">
            <v>682.48</v>
          </cell>
          <cell r="H5"/>
        </row>
        <row r="6">
          <cell r="A6">
            <v>1993</v>
          </cell>
          <cell r="B6">
            <v>1383.9770510927772</v>
          </cell>
          <cell r="C6">
            <v>1067.13435147528</v>
          </cell>
          <cell r="D6">
            <v>1576.4484737703001</v>
          </cell>
          <cell r="E6">
            <v>640</v>
          </cell>
          <cell r="F6">
            <v>1067.13435147528</v>
          </cell>
          <cell r="G6">
            <v>682.48</v>
          </cell>
          <cell r="H6"/>
        </row>
        <row r="7">
          <cell r="A7">
            <v>1994</v>
          </cell>
          <cell r="B7">
            <v>1383.9770510927772</v>
          </cell>
          <cell r="C7">
            <v>1067.13435147528</v>
          </cell>
          <cell r="D7">
            <v>1576.4484737703001</v>
          </cell>
          <cell r="E7">
            <v>751</v>
          </cell>
          <cell r="F7">
            <v>1067.13435147528</v>
          </cell>
          <cell r="G7">
            <v>682.48</v>
          </cell>
          <cell r="H7"/>
        </row>
        <row r="8">
          <cell r="A8">
            <v>1995</v>
          </cell>
          <cell r="B8">
            <v>1383.9770510927772</v>
          </cell>
          <cell r="C8">
            <v>1067.13435147528</v>
          </cell>
          <cell r="D8">
            <v>1576.4484737703001</v>
          </cell>
          <cell r="E8">
            <v>510</v>
          </cell>
          <cell r="F8">
            <v>1067.13435147528</v>
          </cell>
          <cell r="G8">
            <v>682.48</v>
          </cell>
          <cell r="H8"/>
        </row>
        <row r="9">
          <cell r="A9">
            <v>1996</v>
          </cell>
          <cell r="B9">
            <v>461.68</v>
          </cell>
          <cell r="C9">
            <v>781.14</v>
          </cell>
          <cell r="D9">
            <v>1971.65</v>
          </cell>
          <cell r="E9">
            <v>481</v>
          </cell>
          <cell r="F9">
            <v>1894.64</v>
          </cell>
          <cell r="G9">
            <v>682.48</v>
          </cell>
          <cell r="H9"/>
        </row>
        <row r="10">
          <cell r="A10">
            <v>1997</v>
          </cell>
          <cell r="B10">
            <v>461.68</v>
          </cell>
          <cell r="C10">
            <v>781.14</v>
          </cell>
          <cell r="D10">
            <v>1971.65</v>
          </cell>
          <cell r="E10">
            <v>486</v>
          </cell>
          <cell r="F10">
            <v>1894.64</v>
          </cell>
          <cell r="G10">
            <v>682.48</v>
          </cell>
          <cell r="H10"/>
        </row>
        <row r="11">
          <cell r="A11">
            <v>1998</v>
          </cell>
          <cell r="B11">
            <v>461.68</v>
          </cell>
          <cell r="C11">
            <v>781.14</v>
          </cell>
          <cell r="D11">
            <v>1971.65</v>
          </cell>
          <cell r="E11">
            <v>548</v>
          </cell>
          <cell r="F11">
            <v>1894.64</v>
          </cell>
          <cell r="G11">
            <v>682.48</v>
          </cell>
          <cell r="H11"/>
        </row>
        <row r="12">
          <cell r="A12">
            <v>1999</v>
          </cell>
          <cell r="B12">
            <v>1370.6328097388534</v>
          </cell>
          <cell r="C12">
            <v>1317.7492370490199</v>
          </cell>
          <cell r="D12">
            <v>1673.4606875407799</v>
          </cell>
          <cell r="E12">
            <v>621</v>
          </cell>
          <cell r="F12">
            <v>1059.05000032774</v>
          </cell>
          <cell r="G12">
            <v>682.48</v>
          </cell>
          <cell r="H12">
            <v>759.01068824879383</v>
          </cell>
        </row>
        <row r="13">
          <cell r="A13">
            <v>2000</v>
          </cell>
          <cell r="B13">
            <v>1370.6328097388534</v>
          </cell>
          <cell r="C13">
            <v>1317.7492370490199</v>
          </cell>
          <cell r="D13">
            <v>1828.6949999999999</v>
          </cell>
          <cell r="E13">
            <v>628</v>
          </cell>
          <cell r="F13">
            <v>1059.05000032774</v>
          </cell>
          <cell r="G13">
            <v>682.48</v>
          </cell>
          <cell r="H13">
            <v>759.01068824879383</v>
          </cell>
        </row>
        <row r="14">
          <cell r="A14">
            <v>2001</v>
          </cell>
          <cell r="B14">
            <v>1370.6328097388534</v>
          </cell>
          <cell r="C14">
            <v>1317.7492370490199</v>
          </cell>
          <cell r="D14">
            <v>1828.6949999999999</v>
          </cell>
          <cell r="E14">
            <v>726</v>
          </cell>
          <cell r="F14">
            <v>1059.05000032774</v>
          </cell>
          <cell r="G14">
            <v>682.48</v>
          </cell>
          <cell r="H14">
            <v>759.01068824879383</v>
          </cell>
        </row>
        <row r="15">
          <cell r="A15">
            <v>2002</v>
          </cell>
          <cell r="B15">
            <v>1370.6328097388534</v>
          </cell>
          <cell r="C15">
            <v>1317.7492370490199</v>
          </cell>
          <cell r="D15">
            <v>1828.6949999999999</v>
          </cell>
          <cell r="E15">
            <v>664</v>
          </cell>
          <cell r="F15">
            <v>1059.05000032774</v>
          </cell>
          <cell r="G15">
            <v>682.48</v>
          </cell>
          <cell r="H15">
            <v>759.01068824879383</v>
          </cell>
        </row>
        <row r="16">
          <cell r="A16">
            <v>2003</v>
          </cell>
          <cell r="B16">
            <v>620</v>
          </cell>
          <cell r="C16">
            <v>503.06612030327204</v>
          </cell>
          <cell r="D16">
            <v>1828.6949999999999</v>
          </cell>
          <cell r="E16">
            <v>622</v>
          </cell>
          <cell r="F16">
            <v>1059.05000032774</v>
          </cell>
          <cell r="G16">
            <v>682.48</v>
          </cell>
          <cell r="H16">
            <v>754.53920777766632</v>
          </cell>
        </row>
        <row r="17">
          <cell r="A17">
            <v>2004</v>
          </cell>
          <cell r="B17">
            <v>566</v>
          </cell>
          <cell r="C17">
            <v>525.97907240554036</v>
          </cell>
          <cell r="D17">
            <v>1360.5983629503592</v>
          </cell>
          <cell r="E17">
            <v>769</v>
          </cell>
          <cell r="F17">
            <v>738.71150112576038</v>
          </cell>
          <cell r="G17">
            <v>682.48</v>
          </cell>
          <cell r="H17">
            <v>785.21081345674065</v>
          </cell>
        </row>
        <row r="18">
          <cell r="A18">
            <v>2005</v>
          </cell>
          <cell r="B18">
            <v>489</v>
          </cell>
          <cell r="C18">
            <v>484.69861527978026</v>
          </cell>
          <cell r="D18">
            <v>1303.5818941499094</v>
          </cell>
          <cell r="E18">
            <v>616.068739659058</v>
          </cell>
          <cell r="F18">
            <v>795.26381118652375</v>
          </cell>
          <cell r="G18">
            <v>682.48</v>
          </cell>
          <cell r="H18">
            <v>785.21081345674065</v>
          </cell>
        </row>
        <row r="19">
          <cell r="A19">
            <v>2006</v>
          </cell>
          <cell r="B19">
            <v>456</v>
          </cell>
          <cell r="C19">
            <v>474.45227283668595</v>
          </cell>
          <cell r="D19">
            <v>1238.52</v>
          </cell>
          <cell r="E19">
            <v>555.26</v>
          </cell>
          <cell r="F19">
            <v>878.5557568865388</v>
          </cell>
          <cell r="G19">
            <v>682.48</v>
          </cell>
          <cell r="H19">
            <v>972.49703113467513</v>
          </cell>
        </row>
        <row r="20">
          <cell r="A20">
            <v>2007</v>
          </cell>
          <cell r="B20">
            <v>636</v>
          </cell>
          <cell r="C20">
            <v>474.45227283668595</v>
          </cell>
          <cell r="D20">
            <v>1227.8900000000001</v>
          </cell>
          <cell r="E20">
            <v>730.24620000000004</v>
          </cell>
          <cell r="F20">
            <v>766.06907433438084</v>
          </cell>
          <cell r="G20">
            <v>807</v>
          </cell>
          <cell r="H20">
            <v>973.33903036306731</v>
          </cell>
        </row>
        <row r="21">
          <cell r="A21">
            <v>2008</v>
          </cell>
          <cell r="B21">
            <v>467.86664569449846</v>
          </cell>
          <cell r="C21">
            <v>702.91031207433014</v>
          </cell>
          <cell r="D21">
            <v>1274.2760216281454</v>
          </cell>
          <cell r="E21">
            <v>632.42999999999995</v>
          </cell>
          <cell r="F21">
            <v>780.436425633216</v>
          </cell>
          <cell r="G21">
            <v>790</v>
          </cell>
          <cell r="H21">
            <v>999.82772308925041</v>
          </cell>
        </row>
        <row r="22">
          <cell r="A22">
            <v>2009</v>
          </cell>
          <cell r="B22">
            <v>402.45572869816465</v>
          </cell>
          <cell r="C22">
            <v>700.96420137211385</v>
          </cell>
          <cell r="D22">
            <v>1189.0708168403717</v>
          </cell>
          <cell r="E22">
            <v>632.42999999999995</v>
          </cell>
          <cell r="F22">
            <v>739.23325251375684</v>
          </cell>
          <cell r="G22">
            <v>698.37679361401342</v>
          </cell>
          <cell r="H22">
            <v>1136.2287139456275</v>
          </cell>
        </row>
        <row r="23">
          <cell r="A23">
            <v>2010</v>
          </cell>
          <cell r="B23">
            <v>305.81520192230221</v>
          </cell>
          <cell r="C23">
            <v>518.10869798009855</v>
          </cell>
          <cell r="D23">
            <v>1047.2115189466558</v>
          </cell>
          <cell r="E23">
            <v>590.83886216000008</v>
          </cell>
          <cell r="F23">
            <v>651.08046108449696</v>
          </cell>
          <cell r="G23">
            <v>462.06951558906405</v>
          </cell>
          <cell r="H23">
            <v>490.34513540602899</v>
          </cell>
        </row>
        <row r="24">
          <cell r="A24">
            <v>2011</v>
          </cell>
          <cell r="B24">
            <v>297.75691134062276</v>
          </cell>
          <cell r="C24">
            <v>458.76033956358589</v>
          </cell>
          <cell r="D24">
            <v>1027.3729125035115</v>
          </cell>
          <cell r="E24">
            <v>513.6770704600001</v>
          </cell>
          <cell r="F24">
            <v>491.82189407454507</v>
          </cell>
          <cell r="G24">
            <v>299.63123409025815</v>
          </cell>
          <cell r="H24">
            <v>490.80222448682451</v>
          </cell>
        </row>
        <row r="25">
          <cell r="A25">
            <v>2012</v>
          </cell>
          <cell r="B25">
            <v>307.98359538986352</v>
          </cell>
          <cell r="C25">
            <v>468.1935437405603</v>
          </cell>
          <cell r="D25">
            <v>957.51854823911367</v>
          </cell>
          <cell r="E25">
            <v>626.11282408</v>
          </cell>
          <cell r="F25">
            <v>561.89353380246916</v>
          </cell>
          <cell r="G25">
            <v>299.63123409025815</v>
          </cell>
          <cell r="H25">
            <v>521.26867181721809</v>
          </cell>
        </row>
        <row r="26">
          <cell r="A26">
            <v>2013</v>
          </cell>
          <cell r="B26">
            <v>317.70787330444131</v>
          </cell>
          <cell r="C26">
            <v>476.41073533513691</v>
          </cell>
          <cell r="D26">
            <v>1138.9635190936751</v>
          </cell>
          <cell r="E26">
            <v>520.35744769948735</v>
          </cell>
          <cell r="F26">
            <v>647.44456027638319</v>
          </cell>
          <cell r="G26">
            <v>299.63123409025815</v>
          </cell>
          <cell r="H26">
            <v>522.58550339172859</v>
          </cell>
        </row>
        <row r="27">
          <cell r="A27">
            <v>2014</v>
          </cell>
          <cell r="B27">
            <v>300.11619522464076</v>
          </cell>
          <cell r="C27">
            <v>398.72923821367226</v>
          </cell>
          <cell r="D27">
            <v>1127.0357581965472</v>
          </cell>
          <cell r="E27">
            <v>567.99626842141106</v>
          </cell>
          <cell r="F27">
            <v>454.01029311775716</v>
          </cell>
          <cell r="G27">
            <v>644.40872198821307</v>
          </cell>
          <cell r="H27">
            <v>367.61008901807872</v>
          </cell>
        </row>
        <row r="28">
          <cell r="A28">
            <v>2015</v>
          </cell>
          <cell r="B28">
            <v>262.97015258572293</v>
          </cell>
          <cell r="C28">
            <v>376.32489403924421</v>
          </cell>
          <cell r="D28">
            <v>1204.974565252458</v>
          </cell>
          <cell r="E28">
            <v>554.27816156110168</v>
          </cell>
          <cell r="F28">
            <v>412.60239411720198</v>
          </cell>
          <cell r="G28">
            <v>557.41021950893685</v>
          </cell>
          <cell r="H28">
            <v>333.29430943040865</v>
          </cell>
        </row>
        <row r="29">
          <cell r="A29">
            <v>2016</v>
          </cell>
          <cell r="B29">
            <v>200.59092056579323</v>
          </cell>
          <cell r="C29">
            <v>347.32927927997497</v>
          </cell>
          <cell r="D29">
            <v>771.46489914214249</v>
          </cell>
          <cell r="E29">
            <v>363.93269800935997</v>
          </cell>
          <cell r="F29">
            <v>350.13645868118704</v>
          </cell>
          <cell r="G29">
            <v>392.631263162886</v>
          </cell>
          <cell r="H29">
            <v>294.64697289492551</v>
          </cell>
        </row>
        <row r="30">
          <cell r="A30">
            <v>2017</v>
          </cell>
          <cell r="B30">
            <v>206.34773404709841</v>
          </cell>
          <cell r="C30">
            <v>314.49746412610199</v>
          </cell>
          <cell r="D30">
            <v>722.56296583034521</v>
          </cell>
          <cell r="E30">
            <v>330.84385392366971</v>
          </cell>
          <cell r="F30">
            <v>338.17294328493188</v>
          </cell>
          <cell r="G30">
            <v>339.42260108887359</v>
          </cell>
          <cell r="H30">
            <v>404.02383185580527</v>
          </cell>
        </row>
        <row r="31">
          <cell r="A31">
            <v>2018</v>
          </cell>
          <cell r="B31">
            <v>143.47719557694782</v>
          </cell>
          <cell r="C31">
            <v>345.49459306875832</v>
          </cell>
          <cell r="D31">
            <v>676.88673217958399</v>
          </cell>
          <cell r="E31">
            <v>512.3701536118981</v>
          </cell>
          <cell r="F31">
            <v>385.0530050855532</v>
          </cell>
          <cell r="G31">
            <v>465.74046486141259</v>
          </cell>
          <cell r="H31">
            <v>518.9757072038999</v>
          </cell>
        </row>
        <row r="32">
          <cell r="A32">
            <v>2019</v>
          </cell>
          <cell r="B32">
            <v>143.47719557694782</v>
          </cell>
          <cell r="C32">
            <v>345.49459306875832</v>
          </cell>
          <cell r="D32">
            <v>676.88673217958399</v>
          </cell>
          <cell r="E32">
            <v>512.3701536118981</v>
          </cell>
          <cell r="F32">
            <v>385.0530050855532</v>
          </cell>
          <cell r="G32">
            <v>465.74046486141259</v>
          </cell>
          <cell r="H32">
            <v>518.9757072038999</v>
          </cell>
        </row>
        <row r="33">
          <cell r="A33">
            <v>2020</v>
          </cell>
          <cell r="B33">
            <v>143.47719557694782</v>
          </cell>
          <cell r="C33">
            <v>345.49459306875832</v>
          </cell>
          <cell r="D33">
            <v>676.88673217958399</v>
          </cell>
          <cell r="E33">
            <v>512.3701536118981</v>
          </cell>
          <cell r="F33">
            <v>385.0530050855532</v>
          </cell>
          <cell r="G33">
            <v>465.74046486141259</v>
          </cell>
          <cell r="H33">
            <v>518.9757072038999</v>
          </cell>
        </row>
      </sheetData>
      <sheetData sheetId="1"/>
      <sheetData sheetId="2"/>
      <sheetData sheetId="3"/>
      <sheetData sheetId="4">
        <row r="2">
          <cell r="F2">
            <v>2015</v>
          </cell>
          <cell r="G2">
            <v>2016</v>
          </cell>
          <cell r="H2">
            <v>2017</v>
          </cell>
          <cell r="I2">
            <v>2018</v>
          </cell>
          <cell r="J2">
            <v>2019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28"/>
  <sheetViews>
    <sheetView showGridLines="0" tabSelected="1" zoomScaleNormal="100" workbookViewId="0"/>
  </sheetViews>
  <sheetFormatPr defaultColWidth="9.1796875" defaultRowHeight="14.5"/>
  <cols>
    <col min="1" max="1" width="2" customWidth="1"/>
    <col min="2" max="2" width="91" customWidth="1"/>
    <col min="3" max="3" width="96.81640625" customWidth="1"/>
  </cols>
  <sheetData>
    <row r="2" spans="1:15" ht="26">
      <c r="A2" s="103" t="s">
        <v>98</v>
      </c>
      <c r="B2" s="103"/>
      <c r="C2" s="103"/>
    </row>
    <row r="3" spans="1:15" ht="218.25" customHeight="1">
      <c r="A3" s="100" t="s">
        <v>167</v>
      </c>
      <c r="B3" s="101"/>
      <c r="C3" s="102"/>
      <c r="D3" s="75"/>
      <c r="E3" s="75"/>
      <c r="F3" s="75"/>
      <c r="G3" s="75"/>
      <c r="H3" s="75"/>
      <c r="I3" s="75"/>
      <c r="J3" s="75"/>
      <c r="K3" s="75"/>
      <c r="L3" s="75"/>
      <c r="M3" s="75"/>
      <c r="N3" s="75"/>
      <c r="O3" s="75"/>
    </row>
    <row r="4" spans="1:15">
      <c r="C4" s="26" t="s">
        <v>152</v>
      </c>
    </row>
    <row r="5" spans="1:15" ht="24" thickBot="1">
      <c r="A5" s="99"/>
      <c r="B5" s="99"/>
      <c r="C5" s="99"/>
    </row>
    <row r="6" spans="1:15" ht="19" thickBot="1">
      <c r="A6" s="59"/>
      <c r="B6" s="89" t="s">
        <v>111</v>
      </c>
      <c r="C6" s="78"/>
    </row>
    <row r="7" spans="1:15" ht="18.5">
      <c r="A7" s="59"/>
      <c r="B7" s="90" t="s">
        <v>100</v>
      </c>
      <c r="C7" s="78"/>
    </row>
    <row r="8" spans="1:15" ht="18.5">
      <c r="A8" s="59"/>
      <c r="B8" s="91" t="s">
        <v>101</v>
      </c>
    </row>
    <row r="9" spans="1:15" ht="18.5">
      <c r="A9" s="59"/>
      <c r="B9" s="92" t="s">
        <v>99</v>
      </c>
    </row>
    <row r="10" spans="1:15" ht="21.65" customHeight="1" thickBot="1">
      <c r="A10" s="59"/>
      <c r="B10" s="93" t="s">
        <v>102</v>
      </c>
    </row>
    <row r="11" spans="1:15" ht="21.65" customHeight="1">
      <c r="A11" s="59"/>
      <c r="B11" s="59"/>
    </row>
    <row r="12" spans="1:15" ht="21.65" customHeight="1">
      <c r="A12" s="104" t="s">
        <v>123</v>
      </c>
      <c r="B12" s="104"/>
      <c r="C12" s="104"/>
    </row>
    <row r="13" spans="1:15" ht="81" customHeight="1">
      <c r="A13" s="100" t="s">
        <v>120</v>
      </c>
      <c r="B13" s="101"/>
      <c r="C13" s="102"/>
    </row>
    <row r="14" spans="1:15" ht="21.65" customHeight="1">
      <c r="A14" s="105" t="s">
        <v>121</v>
      </c>
      <c r="B14" s="106"/>
      <c r="C14" s="79" t="s">
        <v>122</v>
      </c>
    </row>
    <row r="15" spans="1:15" ht="41.25" customHeight="1">
      <c r="A15" s="97" t="s">
        <v>125</v>
      </c>
      <c r="B15" s="98"/>
      <c r="C15" s="80" t="s">
        <v>125</v>
      </c>
      <c r="D15" s="58"/>
    </row>
    <row r="16" spans="1:15" ht="60.75" customHeight="1">
      <c r="A16" s="97" t="s">
        <v>126</v>
      </c>
      <c r="B16" s="98"/>
      <c r="C16" s="80" t="s">
        <v>136</v>
      </c>
      <c r="D16" s="58"/>
    </row>
    <row r="17" spans="1:3" ht="14.5" customHeight="1">
      <c r="A17" s="97" t="s">
        <v>127</v>
      </c>
      <c r="B17" s="98"/>
      <c r="C17" s="107" t="s">
        <v>137</v>
      </c>
    </row>
    <row r="18" spans="1:3" ht="41.25" customHeight="1">
      <c r="A18" s="83"/>
      <c r="B18" s="84" t="s">
        <v>128</v>
      </c>
      <c r="C18" s="107"/>
    </row>
    <row r="19" spans="1:3" ht="54" customHeight="1">
      <c r="A19" s="83"/>
      <c r="B19" s="84" t="s">
        <v>151</v>
      </c>
      <c r="C19" s="80" t="s">
        <v>138</v>
      </c>
    </row>
    <row r="20" spans="1:3" ht="42.75" customHeight="1">
      <c r="A20" s="83"/>
      <c r="B20" s="84" t="s">
        <v>141</v>
      </c>
      <c r="C20" s="80" t="s">
        <v>139</v>
      </c>
    </row>
    <row r="21" spans="1:3" ht="56.25" customHeight="1">
      <c r="A21" s="83"/>
      <c r="B21" s="84" t="s">
        <v>129</v>
      </c>
      <c r="C21" s="80" t="s">
        <v>140</v>
      </c>
    </row>
    <row r="22" spans="1:3" ht="162" customHeight="1">
      <c r="A22" s="83"/>
      <c r="B22" s="84" t="s">
        <v>124</v>
      </c>
      <c r="C22" s="80"/>
    </row>
    <row r="23" spans="1:3" ht="14.5" customHeight="1">
      <c r="A23" s="97" t="s">
        <v>131</v>
      </c>
      <c r="B23" s="98"/>
      <c r="C23" s="81"/>
    </row>
    <row r="24" spans="1:3" ht="39" customHeight="1">
      <c r="A24" s="83"/>
      <c r="B24" s="84" t="s">
        <v>130</v>
      </c>
      <c r="C24" s="81"/>
    </row>
    <row r="25" spans="1:3" ht="48" customHeight="1">
      <c r="A25" s="83"/>
      <c r="B25" s="84" t="s">
        <v>132</v>
      </c>
      <c r="C25" s="81"/>
    </row>
    <row r="26" spans="1:3" ht="45.75" customHeight="1">
      <c r="A26" s="83"/>
      <c r="B26" s="84" t="s">
        <v>133</v>
      </c>
      <c r="C26" s="81"/>
    </row>
    <row r="27" spans="1:3" ht="28.5" customHeight="1">
      <c r="A27" s="85" t="s">
        <v>134</v>
      </c>
      <c r="B27" s="86"/>
      <c r="C27" s="81"/>
    </row>
    <row r="28" spans="1:3">
      <c r="A28" s="87"/>
      <c r="B28" s="88" t="s">
        <v>135</v>
      </c>
      <c r="C28" s="82"/>
    </row>
  </sheetData>
  <sheetProtection sheet="1" objects="1" scenarios="1"/>
  <mergeCells count="11">
    <mergeCell ref="A23:B23"/>
    <mergeCell ref="A5:C5"/>
    <mergeCell ref="A13:C13"/>
    <mergeCell ref="A2:C2"/>
    <mergeCell ref="A3:C3"/>
    <mergeCell ref="A15:B15"/>
    <mergeCell ref="A12:C12"/>
    <mergeCell ref="A14:B14"/>
    <mergeCell ref="A16:B16"/>
    <mergeCell ref="A17:B17"/>
    <mergeCell ref="C17:C18"/>
  </mergeCells>
  <dataValidations disablePrompts="1" count="1">
    <dataValidation allowBlank="1" showErrorMessage="1" promptTitle="Drop Down Box" sqref="B8" xr:uid="{00000000-0002-0000-0000-000000000000}"/>
  </dataValidations>
  <pageMargins left="0.7" right="0.505" top="0.75" bottom="0.75" header="0.3" footer="0.3"/>
  <pageSetup scale="48"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pageSetUpPr fitToPage="1"/>
  </sheetPr>
  <dimension ref="A2:K35"/>
  <sheetViews>
    <sheetView workbookViewId="0"/>
  </sheetViews>
  <sheetFormatPr defaultRowHeight="14.5"/>
  <cols>
    <col min="2" max="2" width="17" bestFit="1" customWidth="1"/>
    <col min="3" max="4" width="18.81640625" bestFit="1" customWidth="1"/>
    <col min="5" max="7" width="14.453125" customWidth="1"/>
    <col min="8" max="8" width="13.1796875" customWidth="1"/>
    <col min="9" max="9" width="12.26953125" customWidth="1"/>
    <col min="10" max="10" width="14.7265625" bestFit="1" customWidth="1"/>
    <col min="11" max="11" width="13.54296875" customWidth="1"/>
  </cols>
  <sheetData>
    <row r="2" spans="1:11">
      <c r="A2" s="123" t="s">
        <v>8</v>
      </c>
      <c r="B2" s="123"/>
      <c r="C2" s="109" t="s">
        <v>103</v>
      </c>
      <c r="D2" s="109"/>
      <c r="E2" s="94" t="s">
        <v>147</v>
      </c>
      <c r="F2" s="30"/>
    </row>
    <row r="3" spans="1:11">
      <c r="A3" s="123" t="s">
        <v>35</v>
      </c>
      <c r="B3" s="123"/>
      <c r="C3" s="108" t="s">
        <v>156</v>
      </c>
      <c r="D3" s="108"/>
      <c r="E3" s="95" t="s">
        <v>148</v>
      </c>
    </row>
    <row r="4" spans="1:11">
      <c r="A4" s="123" t="s">
        <v>107</v>
      </c>
      <c r="B4" s="123"/>
      <c r="C4" s="122" t="s">
        <v>157</v>
      </c>
      <c r="D4" s="122"/>
      <c r="E4" s="95"/>
    </row>
    <row r="5" spans="1:11">
      <c r="B5" s="30"/>
      <c r="C5" s="30"/>
      <c r="D5" s="30"/>
      <c r="E5" s="95"/>
    </row>
    <row r="6" spans="1:11">
      <c r="B6" s="30"/>
      <c r="C6" t="s">
        <v>38</v>
      </c>
      <c r="D6" s="30" t="s">
        <v>37</v>
      </c>
      <c r="E6" s="95"/>
    </row>
    <row r="7" spans="1:11">
      <c r="A7" s="123" t="s">
        <v>89</v>
      </c>
      <c r="B7" s="123"/>
      <c r="C7" s="62" t="s">
        <v>112</v>
      </c>
      <c r="D7" s="30"/>
      <c r="E7" s="96" t="s">
        <v>142</v>
      </c>
    </row>
    <row r="8" spans="1:11">
      <c r="A8" s="123" t="s">
        <v>90</v>
      </c>
      <c r="B8" s="123"/>
      <c r="C8" s="62" t="s">
        <v>113</v>
      </c>
      <c r="D8" s="30"/>
      <c r="E8" s="96" t="s">
        <v>142</v>
      </c>
      <c r="G8" s="8"/>
    </row>
    <row r="9" spans="1:11">
      <c r="A9" s="123" t="s">
        <v>66</v>
      </c>
      <c r="B9" s="123"/>
      <c r="C9" s="77"/>
      <c r="D9" s="65" t="s">
        <v>158</v>
      </c>
      <c r="E9" s="95" t="s">
        <v>143</v>
      </c>
    </row>
    <row r="10" spans="1:11">
      <c r="A10" s="123" t="s">
        <v>149</v>
      </c>
      <c r="B10" s="123"/>
      <c r="C10" s="60" t="s">
        <v>159</v>
      </c>
      <c r="D10" s="61" t="s">
        <v>159</v>
      </c>
      <c r="E10" s="95" t="s">
        <v>150</v>
      </c>
      <c r="I10" s="77"/>
    </row>
    <row r="11" spans="1:11">
      <c r="A11" s="123" t="s">
        <v>65</v>
      </c>
      <c r="B11" s="123"/>
      <c r="C11" s="62" t="s">
        <v>160</v>
      </c>
      <c r="D11" s="62" t="s">
        <v>160</v>
      </c>
      <c r="E11" s="95" t="s">
        <v>144</v>
      </c>
    </row>
    <row r="12" spans="1:11">
      <c r="A12" s="123" t="s">
        <v>36</v>
      </c>
      <c r="B12" s="123"/>
      <c r="C12" s="64" t="s">
        <v>105</v>
      </c>
      <c r="D12" s="64" t="s">
        <v>105</v>
      </c>
      <c r="E12" s="95" t="s">
        <v>145</v>
      </c>
    </row>
    <row r="13" spans="1:11">
      <c r="A13" s="123" t="s">
        <v>88</v>
      </c>
      <c r="B13" s="123"/>
      <c r="C13" s="63" t="s">
        <v>161</v>
      </c>
      <c r="D13" s="30"/>
      <c r="E13" s="95" t="s">
        <v>146</v>
      </c>
    </row>
    <row r="14" spans="1:11" ht="15" thickBot="1">
      <c r="C14" s="26"/>
      <c r="D14" s="26"/>
    </row>
    <row r="15" spans="1:11" ht="46" thickBot="1">
      <c r="A15" s="56"/>
      <c r="B15" s="57"/>
      <c r="C15" s="1" t="s">
        <v>0</v>
      </c>
      <c r="D15" s="1" t="s">
        <v>87</v>
      </c>
      <c r="E15" s="1" t="s">
        <v>86</v>
      </c>
      <c r="F15" s="1" t="s">
        <v>85</v>
      </c>
      <c r="G15" s="1" t="s">
        <v>64</v>
      </c>
      <c r="H15" s="1" t="s">
        <v>1</v>
      </c>
      <c r="I15" s="1" t="s">
        <v>2</v>
      </c>
      <c r="J15" s="1" t="s">
        <v>3</v>
      </c>
      <c r="K15" s="1" t="s">
        <v>4</v>
      </c>
    </row>
    <row r="16" spans="1:11" ht="15" thickBot="1">
      <c r="A16" s="2"/>
      <c r="B16" s="110" t="s">
        <v>5</v>
      </c>
      <c r="C16" s="3" t="s">
        <v>6</v>
      </c>
      <c r="D16" s="27" t="e">
        <f>IF(C3="New Building",0,(INDEX('Campus CZ'!$C$2:$C$25,MATCH($C$2,'Campus CZ'!$A$2:$A$25,0),1))/3412)*(1+$C$13)</f>
        <v>#N/A</v>
      </c>
      <c r="E16" s="9" t="e">
        <f>D16*$C$10*(1+$C$13)</f>
        <v>#N/A</v>
      </c>
      <c r="F16" s="9" t="str">
        <f>IF($C$3="New Building",0,IF(OR($C$7="[kWh]",$C$8="[Therms]"),"",C7))</f>
        <v/>
      </c>
      <c r="G16" s="27" t="e">
        <f t="array" ref="G16">INDEX(EUI!$D$3:$S$92,MATCH(1,(EUI!$B$3:$B$92=$D$12)*(EUI!$C$3:$C$92=IF(D11&gt;2020,MAX(IF(EUI!$C$3:$C$92&lt;=D11,EUI!$C$3:$C$92)),2020)),0),MATCH(INDEX('Campus CZ'!$B$2:$B$25,MATCH(C2,'Campus CZ'!$A$2:$A$25,0),1),EUI!$D$2:$S$2,0))*INDEX('Campus CZ'!$E$2:$E$25,MATCH(C2,'Campus CZ'!$A$2:$A$25,0),1)*1000/3412</f>
        <v>#N/A</v>
      </c>
      <c r="H16" s="9" t="e">
        <f>G16*$D$10</f>
        <v>#N/A</v>
      </c>
      <c r="I16" s="9" t="e">
        <f>H16-IF(OR($F$16&lt;&gt;"",$F$17&lt;&gt;""),F16,E16)</f>
        <v>#N/A</v>
      </c>
      <c r="J16" s="11" t="e">
        <f>INDEX('Campus Emission Factors'!$C$3:$AJ$26,MATCH($C$2,Campus,0),MATCH(YEAR(D9),'Campus Emission Factors'!$C$2:$AJ$2,0))*'Campus Emission Factors'!$D$54</f>
        <v>#N/A</v>
      </c>
      <c r="K16" s="9" t="e">
        <f>I16*J16</f>
        <v>#N/A</v>
      </c>
    </row>
    <row r="17" spans="1:11" ht="15" thickBot="1">
      <c r="A17" s="4"/>
      <c r="B17" s="111"/>
      <c r="C17" s="3" t="s">
        <v>104</v>
      </c>
      <c r="D17" s="27" t="e">
        <f>IF(C3="New Building",0,(INDEX('Campus CZ'!$D$2:$D$25,MATCH($C$2,'Campus CZ'!$A$2:$A$25,0),1))/100000)*(1+$C$13)</f>
        <v>#N/A</v>
      </c>
      <c r="E17" s="9" t="e">
        <f>D17*$C$10</f>
        <v>#N/A</v>
      </c>
      <c r="F17" s="9" t="str">
        <f>IF($C$3="New Building",0,IF(OR($C$7="[kWh]",$C$8="[Therms]"),"",C8))</f>
        <v/>
      </c>
      <c r="G17" s="27" t="e">
        <f t="array" ref="G17">INDEX(EUI!$D$3:$S$92,MATCH(1,(EUI!$B$3:$B$92=$D$12)*(EUI!$C$3:$C$92=IF(D11&gt;2020,MAX(IF(EUI!$C$3:$C$92&lt;=D11,EUI!$C$3:$C$92)),2020)),0),MATCH(INDEX('Campus CZ'!$B$2:$B$25,MATCH(C2,'Campus CZ'!$A$2:$A$25,0),1),EUI!$D$2:$S$2,0))*INDEX('Campus CZ'!$F$2:$F$25,MATCH(C2,'Campus CZ'!$A$2:$A$25,0),1)/100</f>
        <v>#N/A</v>
      </c>
      <c r="H17" s="9" t="e">
        <f>G17*$D$10</f>
        <v>#N/A</v>
      </c>
      <c r="I17" s="9" t="e">
        <f>H17-IF(OR($F$16&lt;&gt;"",$F$17&lt;&gt;""),F17,E17)</f>
        <v>#N/A</v>
      </c>
      <c r="J17" s="11" t="e">
        <f>INDEX('Campus Emission Factors'!$C$30:$AJ$53,MATCH($C$2,Campus,0),MATCH(YEAR(D9),'Campus Emission Factors'!$C$29:$AJ$29,0))</f>
        <v>#N/A</v>
      </c>
      <c r="K17" s="9" t="e">
        <f>I17*J17</f>
        <v>#N/A</v>
      </c>
    </row>
    <row r="18" spans="1:11" ht="15" thickBot="1">
      <c r="A18" s="5"/>
      <c r="B18" s="6"/>
      <c r="C18" s="7"/>
      <c r="D18" s="7"/>
      <c r="E18" s="7"/>
      <c r="F18" s="7"/>
      <c r="G18" s="7"/>
      <c r="H18" s="7"/>
      <c r="I18" s="7"/>
      <c r="J18" s="7"/>
      <c r="K18" s="66"/>
    </row>
    <row r="19" spans="1:11" ht="15.75" customHeight="1" thickBot="1">
      <c r="A19" s="2"/>
      <c r="B19" s="110" t="s">
        <v>7</v>
      </c>
      <c r="C19" s="112" t="str">
        <f>INDEX('Historical Campus Emissions '!$A$2:$K$2,1,COUNTA('Historical Campus Emissions '!4:4)) &amp;" Campus GHG Emissions"</f>
        <v>2019 Campus GHG Emissions</v>
      </c>
      <c r="D19" s="113"/>
      <c r="E19" s="113"/>
      <c r="F19" s="113"/>
      <c r="G19" s="113"/>
      <c r="H19" s="113"/>
      <c r="I19" s="113"/>
      <c r="J19" s="114"/>
      <c r="K19" s="68" t="e">
        <f>INDEX('Historical Campus Emissions '!$B$4:$K$27,MATCH($C$2,Campus,0),MATCH(INDEX('Historical Campus Emissions '!$A$2:$K$2,1,COUNTA('Historical Campus Emissions '!4:4)),'Historical Campus Emissions '!$B$2:$K$2,0))</f>
        <v>#N/A</v>
      </c>
    </row>
    <row r="20" spans="1:11" ht="15" thickBot="1">
      <c r="A20" s="4"/>
      <c r="B20" s="111"/>
      <c r="C20" s="112" t="s">
        <v>166</v>
      </c>
      <c r="D20" s="113"/>
      <c r="E20" s="113"/>
      <c r="F20" s="113"/>
      <c r="G20" s="113"/>
      <c r="H20" s="113"/>
      <c r="I20" s="113"/>
      <c r="J20" s="114"/>
      <c r="K20" s="67" t="e">
        <f>INDEX('Historical Campus Emissions '!$B$4:$E$27,MATCH($C$2,Campus,0),MATCH(1990,'Historical Campus Emissions '!$B$2:$K$2,0))*0.5</f>
        <v>#N/A</v>
      </c>
    </row>
    <row r="21" spans="1:11" ht="15" thickBot="1">
      <c r="A21" s="4"/>
      <c r="B21" s="111"/>
      <c r="C21" s="112" t="s">
        <v>165</v>
      </c>
      <c r="D21" s="113"/>
      <c r="E21" s="113"/>
      <c r="F21" s="113"/>
      <c r="G21" s="113"/>
      <c r="H21" s="113"/>
      <c r="I21" s="113"/>
      <c r="J21" s="114"/>
      <c r="K21" s="69" t="e">
        <f>K20*0.2</f>
        <v>#N/A</v>
      </c>
    </row>
    <row r="22" spans="1:11" ht="15" thickBot="1">
      <c r="A22" s="4"/>
      <c r="B22" s="111"/>
      <c r="C22" s="70"/>
      <c r="D22" s="71"/>
      <c r="E22" s="71"/>
      <c r="F22" s="71"/>
      <c r="G22" s="71"/>
      <c r="H22" s="71"/>
      <c r="I22" s="71"/>
      <c r="J22" s="71"/>
      <c r="K22" s="69"/>
    </row>
    <row r="23" spans="1:11" ht="15" thickBot="1">
      <c r="A23" s="4"/>
      <c r="B23" s="111"/>
      <c r="C23" s="119" t="str">
        <f>"Net Change relative to " &amp; INDEX('Historical Campus Emissions '!$A$2:$K$2,1,COUNTA('Historical Campus Emissions '!3:3)) &amp; " due to project (K16 +K17)"</f>
        <v>Net Change relative to Campus due to project (K16 +K17)</v>
      </c>
      <c r="D23" s="120"/>
      <c r="E23" s="120"/>
      <c r="F23" s="120"/>
      <c r="G23" s="120"/>
      <c r="H23" s="120"/>
      <c r="I23" s="120"/>
      <c r="J23" s="121"/>
      <c r="K23" s="68" t="e">
        <f>SUM(K16:K17)</f>
        <v>#N/A</v>
      </c>
    </row>
    <row r="24" spans="1:11" ht="15" thickBot="1">
      <c r="A24" s="4"/>
      <c r="B24" s="111"/>
      <c r="C24" s="70"/>
      <c r="D24" s="71"/>
      <c r="E24" s="71"/>
      <c r="F24" s="71"/>
      <c r="G24" s="71"/>
      <c r="H24" s="71"/>
      <c r="I24" s="71"/>
      <c r="J24" s="72"/>
      <c r="K24" s="69"/>
    </row>
    <row r="25" spans="1:11" ht="15.75" customHeight="1" thickBot="1">
      <c r="A25" s="4"/>
      <c r="B25" s="111"/>
      <c r="C25" s="116" t="s">
        <v>162</v>
      </c>
      <c r="D25" s="117"/>
      <c r="E25" s="117"/>
      <c r="F25" s="117"/>
      <c r="G25" s="117"/>
      <c r="H25" s="117"/>
      <c r="I25" s="117"/>
      <c r="J25" s="118"/>
      <c r="K25" s="68" t="e">
        <f>K19+K23</f>
        <v>#N/A</v>
      </c>
    </row>
    <row r="26" spans="1:11" ht="15" thickBot="1">
      <c r="A26" s="4"/>
      <c r="B26" s="111"/>
      <c r="C26" s="112" t="s">
        <v>164</v>
      </c>
      <c r="D26" s="113"/>
      <c r="E26" s="113"/>
      <c r="F26" s="113"/>
      <c r="G26" s="113"/>
      <c r="H26" s="113"/>
      <c r="I26" s="113"/>
      <c r="J26" s="114"/>
      <c r="K26" s="68" t="e">
        <f>(K19+K23)-K20</f>
        <v>#N/A</v>
      </c>
    </row>
    <row r="27" spans="1:11" ht="15" thickBot="1">
      <c r="A27" s="4"/>
      <c r="B27" s="115"/>
      <c r="C27" s="112" t="s">
        <v>163</v>
      </c>
      <c r="D27" s="113"/>
      <c r="E27" s="113"/>
      <c r="F27" s="113"/>
      <c r="G27" s="113"/>
      <c r="H27" s="113"/>
      <c r="I27" s="113"/>
      <c r="J27" s="114"/>
      <c r="K27" s="76" t="e">
        <f>K19-K21</f>
        <v>#N/A</v>
      </c>
    </row>
    <row r="30" spans="1:11" ht="15" thickBot="1">
      <c r="B30" t="str">
        <f>"EUI Estimate using " &amp; IF(C11&gt;1978,LARGE(EUI!$C$3:$C$10,COUNTIF(EUI!$C$3:$C$10,"&gt;"&amp;C11)+1)&amp;" Title 24 Code Year","Pre-1978 EUI Estimates")</f>
        <v>EUI Estimate using 2034 Title 24 Code Year</v>
      </c>
    </row>
    <row r="31" spans="1:11" ht="15" thickBot="1">
      <c r="A31" s="46"/>
      <c r="B31" s="47" t="s">
        <v>91</v>
      </c>
      <c r="C31" s="47" t="s">
        <v>97</v>
      </c>
      <c r="E31" s="26"/>
      <c r="F31" s="26"/>
    </row>
    <row r="32" spans="1:11" ht="15" thickBot="1">
      <c r="A32" s="48" t="s">
        <v>6</v>
      </c>
      <c r="B32" s="10" t="e">
        <f t="array" ref="B32">INDEX(EUI!$D$3:$S$92,MATCH(1,(EUI!$B$3:$B$92=$C$12)*(EUI!$C$3:$C$92=IF(C11&gt;1981,MAX(IF(EUI!$C$3:$C$92&lt;=C11,EUI!$C$3:$C$92)),1978)),0),MATCH(INDEX('Campus CZ'!$B$2:$B$25,MATCH(C2,'Campus CZ'!$A$2:$A$25,0),1),EUI!$D$2:$S$2,0))*INDEX('Campus CZ'!$E$2:$E$25,MATCH(C2,'Campus CZ'!$A$2:$A$25,0),1)*1000/3412</f>
        <v>#N/A</v>
      </c>
      <c r="C32" s="9" t="e">
        <f>B32*$C$10</f>
        <v>#N/A</v>
      </c>
      <c r="E32" s="26"/>
      <c r="F32" s="26"/>
    </row>
    <row r="33" spans="1:7" ht="15" thickBot="1">
      <c r="A33" s="48" t="s">
        <v>77</v>
      </c>
      <c r="B33" s="10" t="e">
        <f t="array" ref="B33">INDEX(EUI!$D$3:$S$92,MATCH(1,(EUI!$B$3:$B$92=$C$12)*(EUI!$C$3:$C$92=IF(C11&gt;1981,MAX(IF(EUI!$C$3:$C$92&lt;=C11,EUI!$C$3:$C$92)),1978)),0),MATCH(INDEX('Campus CZ'!$B$2:$B$25,MATCH(C2,'Campus CZ'!$A$2:$A$25,0),1),EUI!$D$2:$S$2,0))*INDEX('Campus CZ'!$F$2:$F$25,MATCH(C2,'Campus CZ'!$A$2:$A$25,0),1)/100</f>
        <v>#N/A</v>
      </c>
      <c r="C33" s="9" t="e">
        <f>B33*$C$10</f>
        <v>#N/A</v>
      </c>
      <c r="E33" s="26"/>
      <c r="F33" s="26"/>
    </row>
    <row r="34" spans="1:7">
      <c r="E34" s="26"/>
      <c r="F34" s="26"/>
    </row>
    <row r="35" spans="1:7">
      <c r="E35" s="26"/>
      <c r="F35" s="26"/>
      <c r="G35" s="26"/>
    </row>
  </sheetData>
  <sheetProtection sheet="1" objects="1" scenarios="1"/>
  <mergeCells count="22">
    <mergeCell ref="A2:B2"/>
    <mergeCell ref="A9:B9"/>
    <mergeCell ref="A8:B8"/>
    <mergeCell ref="A7:B7"/>
    <mergeCell ref="A4:B4"/>
    <mergeCell ref="A3:B3"/>
    <mergeCell ref="C3:D3"/>
    <mergeCell ref="C2:D2"/>
    <mergeCell ref="B16:B17"/>
    <mergeCell ref="C21:J21"/>
    <mergeCell ref="C27:J27"/>
    <mergeCell ref="B19:B27"/>
    <mergeCell ref="C26:J26"/>
    <mergeCell ref="C25:J25"/>
    <mergeCell ref="C23:J23"/>
    <mergeCell ref="C19:J19"/>
    <mergeCell ref="C20:J20"/>
    <mergeCell ref="C4:D4"/>
    <mergeCell ref="A13:B13"/>
    <mergeCell ref="A12:B12"/>
    <mergeCell ref="A11:B11"/>
    <mergeCell ref="A10:B10"/>
  </mergeCells>
  <conditionalFormatting sqref="E16:E17">
    <cfRule type="expression" dxfId="13" priority="25">
      <formula>AND(OR(ISNUMBER($C$7),ISNUMBER($C$8)),OR($F$16&lt;&gt;0,$F$17&lt;&gt;0))</formula>
    </cfRule>
  </conditionalFormatting>
  <conditionalFormatting sqref="D16:E17 B32:C33">
    <cfRule type="expression" dxfId="12" priority="23">
      <formula>$C$3="New Building"</formula>
    </cfRule>
  </conditionalFormatting>
  <conditionalFormatting sqref="C8">
    <cfRule type="expression" dxfId="11" priority="16">
      <formula>$C$3="New Building"</formula>
    </cfRule>
  </conditionalFormatting>
  <conditionalFormatting sqref="F16:F17">
    <cfRule type="expression" dxfId="10" priority="15">
      <formula>$C$3="New Building"</formula>
    </cfRule>
  </conditionalFormatting>
  <conditionalFormatting sqref="E2">
    <cfRule type="expression" dxfId="9" priority="14">
      <formula>$C$2&lt;&gt;"SELECT CAMPUS"</formula>
    </cfRule>
  </conditionalFormatting>
  <conditionalFormatting sqref="E3">
    <cfRule type="expression" dxfId="8" priority="13">
      <formula>$C$3&lt;&gt;"SELECT PROJECT TYPE"</formula>
    </cfRule>
  </conditionalFormatting>
  <conditionalFormatting sqref="E7:E8">
    <cfRule type="expression" dxfId="7" priority="11">
      <formula>IF(ISNUMBER($C$7),1,0)+IF(ISNUMBER($C$8),1,0)=1</formula>
    </cfRule>
  </conditionalFormatting>
  <conditionalFormatting sqref="C7">
    <cfRule type="expression" dxfId="6" priority="10">
      <formula>$C$3="New Building"</formula>
    </cfRule>
  </conditionalFormatting>
  <conditionalFormatting sqref="E9">
    <cfRule type="expression" dxfId="5" priority="9">
      <formula>ISNUMBER(DATEVALUE(TEXT($D$9,"mm/dd/yyyy")))</formula>
    </cfRule>
  </conditionalFormatting>
  <conditionalFormatting sqref="E10:E11">
    <cfRule type="expression" dxfId="4" priority="8">
      <formula>AND(OR(ISNUMBER(C10),$C$3="New Building"),ISNUMBER(D10))</formula>
    </cfRule>
  </conditionalFormatting>
  <conditionalFormatting sqref="E13">
    <cfRule type="expression" dxfId="3" priority="5">
      <formula>OR(ISNUMBER($C$13),$C$3="New Building")</formula>
    </cfRule>
  </conditionalFormatting>
  <conditionalFormatting sqref="E12">
    <cfRule type="expression" dxfId="2" priority="3">
      <formula>AND(OR(NOT($C$12="SELECT BUILDING TYPE"),$C$3="New Building"), NOT($D$12="SELECT BUILDING TYPE"))</formula>
    </cfRule>
  </conditionalFormatting>
  <conditionalFormatting sqref="C10:C13">
    <cfRule type="expression" dxfId="1" priority="2">
      <formula>$C$3="New Building"</formula>
    </cfRule>
  </conditionalFormatting>
  <dataValidations count="3">
    <dataValidation type="list" allowBlank="1" showInputMessage="1" showErrorMessage="1" sqref="C12:D12" xr:uid="{00000000-0002-0000-0100-000000000000}">
      <formula1>BuildingTypes</formula1>
    </dataValidation>
    <dataValidation type="list" allowBlank="1" showInputMessage="1" showErrorMessage="1" sqref="C3:D3" xr:uid="{00000000-0002-0000-0100-000001000000}">
      <formula1>"SELECT PROJECT TYPE, Major MEP Renovation, Demo and Replace, New Building"</formula1>
    </dataValidation>
    <dataValidation type="list" allowBlank="1" showInputMessage="1" showErrorMessage="1" sqref="C2:D2" xr:uid="{00000000-0002-0000-0100-000002000000}">
      <formula1>Campus2</formula1>
    </dataValidation>
  </dataValidations>
  <pageMargins left="0.7" right="0.7" top="0.75" bottom="0.75" header="0.3" footer="0.3"/>
  <pageSetup scale="6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2:H27"/>
  <sheetViews>
    <sheetView workbookViewId="0">
      <selection activeCell="C5" sqref="C5"/>
    </sheetView>
  </sheetViews>
  <sheetFormatPr defaultColWidth="9.1796875" defaultRowHeight="14.5"/>
  <cols>
    <col min="2" max="2" width="17" bestFit="1" customWidth="1"/>
    <col min="3" max="4" width="18.81640625" bestFit="1" customWidth="1"/>
    <col min="5" max="5" width="14.453125" customWidth="1"/>
    <col min="6" max="6" width="12.26953125" customWidth="1"/>
    <col min="7" max="7" width="14.7265625" bestFit="1" customWidth="1"/>
    <col min="8" max="8" width="13.54296875" customWidth="1"/>
  </cols>
  <sheetData>
    <row r="2" spans="1:8">
      <c r="A2" s="123" t="s">
        <v>8</v>
      </c>
      <c r="B2" s="123"/>
      <c r="C2" s="109" t="s">
        <v>103</v>
      </c>
      <c r="D2" s="109"/>
    </row>
    <row r="3" spans="1:8">
      <c r="A3" s="123" t="s">
        <v>107</v>
      </c>
      <c r="B3" s="123"/>
      <c r="C3" s="122" t="s">
        <v>157</v>
      </c>
      <c r="D3" s="122"/>
    </row>
    <row r="4" spans="1:8">
      <c r="B4" s="30"/>
      <c r="C4" s="73"/>
      <c r="D4" s="73"/>
    </row>
    <row r="5" spans="1:8">
      <c r="A5" t="s">
        <v>108</v>
      </c>
      <c r="B5" s="30"/>
      <c r="C5" s="65" t="s">
        <v>158</v>
      </c>
    </row>
    <row r="6" spans="1:8" ht="15" thickBot="1">
      <c r="C6" s="26"/>
      <c r="D6" s="26"/>
    </row>
    <row r="7" spans="1:8" ht="58.5" thickBot="1">
      <c r="A7" s="56"/>
      <c r="B7" s="57"/>
      <c r="C7" s="1" t="s">
        <v>0</v>
      </c>
      <c r="D7" s="1" t="s">
        <v>109</v>
      </c>
      <c r="E7" s="1" t="s">
        <v>110</v>
      </c>
      <c r="F7" s="1" t="s">
        <v>2</v>
      </c>
      <c r="G7" s="1" t="s">
        <v>3</v>
      </c>
      <c r="H7" s="1" t="s">
        <v>4</v>
      </c>
    </row>
    <row r="8" spans="1:8" ht="15" thickBot="1">
      <c r="A8" s="2"/>
      <c r="B8" s="110" t="s">
        <v>5</v>
      </c>
      <c r="C8" s="3" t="s">
        <v>6</v>
      </c>
      <c r="D8" s="74" t="s">
        <v>114</v>
      </c>
      <c r="E8" s="74" t="s">
        <v>115</v>
      </c>
      <c r="F8" s="9" t="e">
        <f>E8-D8</f>
        <v>#VALUE!</v>
      </c>
      <c r="G8" s="11" t="e">
        <f>INDEX('Campus Emission Factors'!$C$3:$AJ$26,MATCH($C$2,Campus,0),MATCH(YEAR(C5),'Campus Emission Factors'!$C$2:$AJ$2,0))*'Campus Emission Factors'!$D$54</f>
        <v>#N/A</v>
      </c>
      <c r="H8" s="9" t="e">
        <f>F8*G8</f>
        <v>#VALUE!</v>
      </c>
    </row>
    <row r="9" spans="1:8" ht="15" thickBot="1">
      <c r="A9" s="4"/>
      <c r="B9" s="111"/>
      <c r="C9" s="3" t="s">
        <v>104</v>
      </c>
      <c r="D9" s="74" t="s">
        <v>116</v>
      </c>
      <c r="E9" s="74" t="s">
        <v>117</v>
      </c>
      <c r="F9" s="9" t="e">
        <f>E9-D9</f>
        <v>#VALUE!</v>
      </c>
      <c r="G9" s="11" t="e">
        <f>INDEX('Campus Emission Factors'!$C$30:$AJ$53,MATCH($C$2,Campus,0),MATCH(YEAR(C5),'Campus Emission Factors'!$C$29:$AJ$29,0))</f>
        <v>#N/A</v>
      </c>
      <c r="H9" s="9" t="e">
        <f>F9*G9</f>
        <v>#VALUE!</v>
      </c>
    </row>
    <row r="10" spans="1:8" ht="15" thickBot="1">
      <c r="A10" s="5"/>
      <c r="B10" s="6"/>
      <c r="C10" s="7"/>
      <c r="D10" s="7"/>
      <c r="E10" s="7"/>
      <c r="F10" s="7"/>
      <c r="G10" s="7"/>
      <c r="H10" s="66"/>
    </row>
    <row r="11" spans="1:8" ht="15.75" customHeight="1" thickBot="1">
      <c r="A11" s="2"/>
      <c r="B11" s="110" t="s">
        <v>7</v>
      </c>
      <c r="C11" s="112" t="s">
        <v>34</v>
      </c>
      <c r="D11" s="113"/>
      <c r="E11" s="113"/>
      <c r="F11" s="113"/>
      <c r="G11" s="114"/>
      <c r="H11" s="67" t="e">
        <f>INDEX('Historical Campus Emissions '!$B$4:$E$27,MATCH($C$2,Campus,0),MATCH(1990,'Historical Campus Emissions '!$B$2:$K$2,0))</f>
        <v>#N/A</v>
      </c>
    </row>
    <row r="12" spans="1:8" ht="15" thickBot="1">
      <c r="A12" s="4"/>
      <c r="B12" s="111"/>
      <c r="C12" s="112" t="str">
        <f>INDEX('Historical Campus Emissions '!$A$2:$K$2,1,COUNTA('Historical Campus Emissions '!4:4)) &amp;" Campus GHG Emissions"</f>
        <v>2019 Campus GHG Emissions</v>
      </c>
      <c r="D12" s="113"/>
      <c r="E12" s="113"/>
      <c r="F12" s="113"/>
      <c r="G12" s="114"/>
      <c r="H12" s="68" t="e">
        <f>INDEX('Historical Campus Emissions '!$B$4:$K$27,MATCH($C$2,Campus,0),MATCH(INDEX('Historical Campus Emissions '!$A$2:$K$2,1,COUNTA('Historical Campus Emissions '!4:4)),'Historical Campus Emissions '!$B$2:$K$2,0))</f>
        <v>#N/A</v>
      </c>
    </row>
    <row r="13" spans="1:8" ht="15" thickBot="1">
      <c r="A13" s="4"/>
      <c r="B13" s="111"/>
      <c r="C13" s="112" t="s">
        <v>106</v>
      </c>
      <c r="D13" s="113"/>
      <c r="E13" s="113"/>
      <c r="F13" s="113"/>
      <c r="G13" s="114"/>
      <c r="H13" s="69" t="e">
        <f>H11*0.2</f>
        <v>#N/A</v>
      </c>
    </row>
    <row r="14" spans="1:8" ht="15" thickBot="1">
      <c r="A14" s="4"/>
      <c r="B14" s="111"/>
      <c r="C14" s="70"/>
      <c r="D14" s="71"/>
      <c r="E14" s="71"/>
      <c r="F14" s="71"/>
      <c r="G14" s="71"/>
      <c r="H14" s="69"/>
    </row>
    <row r="15" spans="1:8" ht="15" thickBot="1">
      <c r="A15" s="4"/>
      <c r="B15" s="111"/>
      <c r="C15" s="119" t="str">
        <f>"Net Change relative to " &amp; INDEX('Historical Campus Emissions '!$A$2:$K$2,1,COUNTA('Historical Campus Emissions '!3:3)) &amp; " due to project (H16 +H17)"</f>
        <v>Net Change relative to Campus due to project (H16 +H17)</v>
      </c>
      <c r="D15" s="120"/>
      <c r="E15" s="120"/>
      <c r="F15" s="120"/>
      <c r="G15" s="121"/>
      <c r="H15" s="68" t="e">
        <f>SUM(H8:H9)</f>
        <v>#VALUE!</v>
      </c>
    </row>
    <row r="16" spans="1:8" ht="15" thickBot="1">
      <c r="A16" s="4"/>
      <c r="B16" s="111"/>
      <c r="C16" s="70"/>
      <c r="D16" s="71"/>
      <c r="E16" s="71"/>
      <c r="F16" s="71"/>
      <c r="G16" s="72"/>
      <c r="H16" s="69"/>
    </row>
    <row r="17" spans="1:8" ht="15.75" customHeight="1" thickBot="1">
      <c r="A17" s="4"/>
      <c r="B17" s="111"/>
      <c r="C17" s="116" t="s">
        <v>118</v>
      </c>
      <c r="D17" s="117"/>
      <c r="E17" s="117"/>
      <c r="F17" s="117"/>
      <c r="G17" s="118"/>
      <c r="H17" s="68" t="e">
        <f>H12+H15</f>
        <v>#N/A</v>
      </c>
    </row>
    <row r="18" spans="1:8" ht="15" thickBot="1">
      <c r="A18" s="4"/>
      <c r="B18" s="111"/>
      <c r="C18" s="112" t="s">
        <v>155</v>
      </c>
      <c r="D18" s="113"/>
      <c r="E18" s="113"/>
      <c r="F18" s="113"/>
      <c r="G18" s="114"/>
      <c r="H18" s="68" t="e">
        <f>H12+H15-H11</f>
        <v>#N/A</v>
      </c>
    </row>
    <row r="19" spans="1:8" ht="15" thickBot="1">
      <c r="A19" s="4"/>
      <c r="B19" s="115"/>
      <c r="C19" s="112" t="s">
        <v>119</v>
      </c>
      <c r="D19" s="113"/>
      <c r="E19" s="113"/>
      <c r="F19" s="113"/>
      <c r="G19" s="114"/>
      <c r="H19" s="76" t="e">
        <f>H12-H13</f>
        <v>#N/A</v>
      </c>
    </row>
    <row r="27" spans="1:8">
      <c r="E27" s="26"/>
    </row>
  </sheetData>
  <sheetProtection sheet="1" objects="1" scenarios="1"/>
  <mergeCells count="13">
    <mergeCell ref="C19:G19"/>
    <mergeCell ref="C2:D2"/>
    <mergeCell ref="C3:D3"/>
    <mergeCell ref="B8:B9"/>
    <mergeCell ref="B11:B19"/>
    <mergeCell ref="C11:G11"/>
    <mergeCell ref="C12:G12"/>
    <mergeCell ref="C13:G13"/>
    <mergeCell ref="C15:G15"/>
    <mergeCell ref="C17:G17"/>
    <mergeCell ref="C18:G18"/>
    <mergeCell ref="A2:B2"/>
    <mergeCell ref="A3:B3"/>
  </mergeCells>
  <conditionalFormatting sqref="D8:E9">
    <cfRule type="expression" dxfId="0" priority="1">
      <formula>#REF!="New Building"</formula>
    </cfRule>
  </conditionalFormatting>
  <dataValidations count="1">
    <dataValidation type="list" allowBlank="1" showInputMessage="1" showErrorMessage="1" sqref="C2:D2" xr:uid="{00000000-0002-0000-0200-000000000000}">
      <formula1>Campus2</formula1>
    </dataValidation>
  </dataValidations>
  <pageMargins left="0.7" right="0.7" top="0.75" bottom="0.75" header="0.3" footer="0.3"/>
  <pageSetup scale="6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V92"/>
  <sheetViews>
    <sheetView workbookViewId="0">
      <selection activeCell="C9" sqref="C9"/>
    </sheetView>
  </sheetViews>
  <sheetFormatPr defaultRowHeight="14.5"/>
  <cols>
    <col min="2" max="2" width="20.81640625" bestFit="1" customWidth="1"/>
  </cols>
  <sheetData>
    <row r="1" spans="2:22">
      <c r="B1" s="124" t="s">
        <v>39</v>
      </c>
      <c r="C1" s="125"/>
      <c r="D1" s="125"/>
      <c r="E1" s="125"/>
      <c r="F1" s="125"/>
      <c r="G1" s="125"/>
      <c r="H1" s="125"/>
      <c r="I1" s="125"/>
      <c r="J1" s="125"/>
      <c r="K1" s="125"/>
      <c r="L1" s="125"/>
      <c r="M1" s="125"/>
      <c r="N1" s="125"/>
      <c r="O1" s="125"/>
      <c r="P1" s="125"/>
      <c r="Q1" s="125"/>
      <c r="R1" s="125"/>
      <c r="S1" s="126"/>
    </row>
    <row r="2" spans="2:22">
      <c r="B2" s="31" t="s">
        <v>40</v>
      </c>
      <c r="C2" s="32" t="s">
        <v>41</v>
      </c>
      <c r="D2" s="33" t="s">
        <v>42</v>
      </c>
      <c r="E2" s="34" t="s">
        <v>43</v>
      </c>
      <c r="F2" s="34" t="s">
        <v>44</v>
      </c>
      <c r="G2" s="34" t="s">
        <v>45</v>
      </c>
      <c r="H2" s="34" t="s">
        <v>46</v>
      </c>
      <c r="I2" s="34" t="s">
        <v>47</v>
      </c>
      <c r="J2" s="34" t="s">
        <v>48</v>
      </c>
      <c r="K2" s="34" t="s">
        <v>49</v>
      </c>
      <c r="L2" s="34" t="s">
        <v>50</v>
      </c>
      <c r="M2" s="34" t="s">
        <v>51</v>
      </c>
      <c r="N2" s="34" t="s">
        <v>52</v>
      </c>
      <c r="O2" s="34" t="s">
        <v>53</v>
      </c>
      <c r="P2" s="34" t="s">
        <v>54</v>
      </c>
      <c r="Q2" s="34" t="s">
        <v>55</v>
      </c>
      <c r="R2" s="34" t="s">
        <v>56</v>
      </c>
      <c r="S2" s="35" t="s">
        <v>57</v>
      </c>
    </row>
    <row r="3" spans="2:22">
      <c r="B3" s="36" t="s">
        <v>74</v>
      </c>
      <c r="C3" s="12">
        <v>1982</v>
      </c>
      <c r="D3" s="13">
        <v>63.276898942290188</v>
      </c>
      <c r="E3" s="14">
        <v>67.074072117793179</v>
      </c>
      <c r="F3" s="14">
        <v>62.598847584774717</v>
      </c>
      <c r="G3" s="14">
        <v>65.602847885950666</v>
      </c>
      <c r="H3" s="14">
        <v>63.821029989480657</v>
      </c>
      <c r="I3" s="14">
        <v>64.74411135127005</v>
      </c>
      <c r="J3" s="14">
        <v>62.78869435203125</v>
      </c>
      <c r="K3" s="14">
        <v>66.082745624580213</v>
      </c>
      <c r="L3" s="14">
        <v>67.059037596828389</v>
      </c>
      <c r="M3" s="14">
        <v>67.884078413470377</v>
      </c>
      <c r="N3" s="14">
        <v>69.810507038612641</v>
      </c>
      <c r="O3" s="14">
        <v>67.810426149733942</v>
      </c>
      <c r="P3" s="14">
        <v>69.54168513060425</v>
      </c>
      <c r="Q3" s="14">
        <v>69.521221666726248</v>
      </c>
      <c r="R3" s="14">
        <v>73.030842464783703</v>
      </c>
      <c r="S3" s="15">
        <v>72.815703651217788</v>
      </c>
      <c r="V3" t="s">
        <v>105</v>
      </c>
    </row>
    <row r="4" spans="2:22">
      <c r="B4" s="37" t="s">
        <v>74</v>
      </c>
      <c r="C4" s="16">
        <v>1995</v>
      </c>
      <c r="D4" s="17">
        <v>40.394507531342548</v>
      </c>
      <c r="E4" s="18">
        <v>46.855299895280666</v>
      </c>
      <c r="F4" s="18">
        <v>41.54460666052114</v>
      </c>
      <c r="G4" s="18">
        <v>46.501376817854279</v>
      </c>
      <c r="H4" s="18">
        <v>42.429546308219244</v>
      </c>
      <c r="I4" s="18">
        <v>47.286599823182407</v>
      </c>
      <c r="J4" s="18">
        <v>44.381375653357871</v>
      </c>
      <c r="K4" s="18">
        <v>49.195003172494062</v>
      </c>
      <c r="L4" s="18">
        <v>50.205851290964688</v>
      </c>
      <c r="M4" s="18">
        <v>51.178993480621898</v>
      </c>
      <c r="N4" s="18">
        <v>50.496890377362263</v>
      </c>
      <c r="O4" s="18">
        <v>48.207848004012391</v>
      </c>
      <c r="P4" s="18">
        <v>50.639879962041967</v>
      </c>
      <c r="Q4" s="18">
        <v>50.418781449344735</v>
      </c>
      <c r="R4" s="18">
        <v>55.867177331844772</v>
      </c>
      <c r="S4" s="19">
        <v>49.130912249221957</v>
      </c>
      <c r="V4" t="s">
        <v>74</v>
      </c>
    </row>
    <row r="5" spans="2:22">
      <c r="B5" s="37" t="s">
        <v>74</v>
      </c>
      <c r="C5" s="16">
        <v>2006</v>
      </c>
      <c r="D5" s="17">
        <v>38.423333890609982</v>
      </c>
      <c r="E5" s="18">
        <v>42.342405041624581</v>
      </c>
      <c r="F5" s="18">
        <v>39.42948092383255</v>
      </c>
      <c r="G5" s="18">
        <v>43.039968826014089</v>
      </c>
      <c r="H5" s="18">
        <v>40.470590444244941</v>
      </c>
      <c r="I5" s="18">
        <v>43.209163941843073</v>
      </c>
      <c r="J5" s="18">
        <v>40.636673424475724</v>
      </c>
      <c r="K5" s="18">
        <v>44.652027186249533</v>
      </c>
      <c r="L5" s="18">
        <v>45.714438266565558</v>
      </c>
      <c r="M5" s="18">
        <v>44.254669625827766</v>
      </c>
      <c r="N5" s="18">
        <v>46.432986076966195</v>
      </c>
      <c r="O5" s="18">
        <v>44.376672292221087</v>
      </c>
      <c r="P5" s="18">
        <v>46.525452022321538</v>
      </c>
      <c r="Q5" s="18">
        <v>46.727023077796233</v>
      </c>
      <c r="R5" s="18">
        <v>50.659559808980866</v>
      </c>
      <c r="S5" s="19">
        <v>46.142945773821609</v>
      </c>
      <c r="V5" t="s">
        <v>80</v>
      </c>
    </row>
    <row r="6" spans="2:22">
      <c r="B6" s="37" t="s">
        <v>74</v>
      </c>
      <c r="C6" s="16">
        <v>2013</v>
      </c>
      <c r="D6" s="17">
        <v>35.813758856881783</v>
      </c>
      <c r="E6" s="18">
        <v>38.469086034378627</v>
      </c>
      <c r="F6" s="18">
        <v>35.827913652022872</v>
      </c>
      <c r="G6" s="18">
        <v>38.426545738583265</v>
      </c>
      <c r="H6" s="18">
        <v>36.674544687122669</v>
      </c>
      <c r="I6" s="18">
        <v>38.908613347461547</v>
      </c>
      <c r="J6" s="18">
        <v>37.240290987547006</v>
      </c>
      <c r="K6" s="18">
        <v>39.669073071295728</v>
      </c>
      <c r="L6" s="18">
        <v>40.330404991555021</v>
      </c>
      <c r="M6" s="18">
        <v>40.751206671464367</v>
      </c>
      <c r="N6" s="18">
        <v>41.923940794271893</v>
      </c>
      <c r="O6" s="18">
        <v>40.258620094523351</v>
      </c>
      <c r="P6" s="18">
        <v>42.088047591867905</v>
      </c>
      <c r="Q6" s="18">
        <v>42.040935225266999</v>
      </c>
      <c r="R6" s="18">
        <v>46.280254692811447</v>
      </c>
      <c r="S6" s="19">
        <v>40.6786898865479</v>
      </c>
      <c r="V6" t="s">
        <v>59</v>
      </c>
    </row>
    <row r="7" spans="2:22">
      <c r="B7" s="37" t="s">
        <v>74</v>
      </c>
      <c r="C7" s="16">
        <v>2020</v>
      </c>
      <c r="D7" s="17">
        <f>TREND(D3:D6,C3:C6,C7,TRUE)</f>
        <v>26.648913224940316</v>
      </c>
      <c r="E7" s="18">
        <f>TREND(E3:E6,C3:C6,C7,TRUE)</f>
        <v>29.872408314033464</v>
      </c>
      <c r="F7" s="18">
        <f>TREND(F3:F6,C3:C6,C7,TRUE)</f>
        <v>27.562948136650903</v>
      </c>
      <c r="G7" s="18">
        <f>TREND(G3:G6,C3:C6,C7,TRUE)</f>
        <v>30.752589392706795</v>
      </c>
      <c r="H7" s="18">
        <f>TREND(H3:H6,C3:C6,C7,TRUE)</f>
        <v>28.364024833963413</v>
      </c>
      <c r="I7" s="18">
        <f>TREND(I3:I6,C3:C6,C7,TRUE)</f>
        <v>31.637408090582767</v>
      </c>
      <c r="J7" s="18">
        <f>TREND(J3:J6,C3:C6,C7,TRUE)</f>
        <v>29.495644250133864</v>
      </c>
      <c r="K7" s="18">
        <f>TREND(K3:K6,C3:C6,C7,TRUE)</f>
        <v>32.631775945245636</v>
      </c>
      <c r="L7" s="18">
        <f>TREND(L3:L6,C3:C6,C7,TRUE)</f>
        <v>33.40887587683028</v>
      </c>
      <c r="M7" s="18">
        <f>TREND(M3:M6,C3:C6,C7,TRUE)</f>
        <v>32.749309321347937</v>
      </c>
      <c r="N7" s="18">
        <f>TREND(N3:N6,C3:C6,C7,TRUE)</f>
        <v>33.960986057888476</v>
      </c>
      <c r="O7" s="18">
        <f>TREND(O3:O6,C3:C6,C7,TRUE)</f>
        <v>32.166343938675936</v>
      </c>
      <c r="P7" s="18">
        <f>TREND(P3:P6,C3:C6,C7,TRUE)</f>
        <v>34.258758778260244</v>
      </c>
      <c r="Q7" s="18">
        <f>TREND(Q3:Q6,C3:C6,C7,TRUE)</f>
        <v>34.312724121871497</v>
      </c>
      <c r="R7" s="18">
        <f>TREND(R3:R6,C3:C6,C7,TRUE)</f>
        <v>38.802179512430484</v>
      </c>
      <c r="S7" s="19">
        <f>TREND(S3:S6,C3:C6,C7,TRUE)</f>
        <v>31.501781113797733</v>
      </c>
      <c r="V7" t="s">
        <v>78</v>
      </c>
    </row>
    <row r="8" spans="2:22">
      <c r="B8" s="37" t="s">
        <v>74</v>
      </c>
      <c r="C8" s="16">
        <v>2027</v>
      </c>
      <c r="D8" s="17">
        <f>TREND(D3:D6,C3:C6,C8,TRUE)</f>
        <v>20.706176031493442</v>
      </c>
      <c r="E8" s="18">
        <f>TREND(E3:E6,C3:C6,C8,TRUE)</f>
        <v>23.601472494621703</v>
      </c>
      <c r="F8" s="18">
        <f>TREND(F3:F6,C3:C6,C8,TRUE)</f>
        <v>21.800526780438759</v>
      </c>
      <c r="G8" s="18">
        <f>TREND(G3:G6,C3:C6,C8,TRUE)</f>
        <v>24.872557584575588</v>
      </c>
      <c r="H8" s="18">
        <f>TREND(H3:H6,C3:C6,C8,TRUE)</f>
        <v>22.535723826195635</v>
      </c>
      <c r="I8" s="18">
        <f>TREND(I3:I6,C3:C6,C8,TRUE)</f>
        <v>26.004170082130713</v>
      </c>
      <c r="J8" s="18">
        <f>TREND(J3:J6,C3:C6,C8,TRUE)</f>
        <v>23.906939465394316</v>
      </c>
      <c r="K8" s="18">
        <f>TREND(K3:K6,C3:C6,C8,TRUE)</f>
        <v>26.875797172442617</v>
      </c>
      <c r="L8" s="18">
        <f>TREND(L3:L6,C3:C6,C8,TRUE)</f>
        <v>27.602690156947574</v>
      </c>
      <c r="M8" s="18">
        <f>TREND(M3:M6,C3:C6,C8,TRUE)</f>
        <v>26.660000079181827</v>
      </c>
      <c r="N8" s="18">
        <f>TREND(N3:N6,C3:C6,C8,TRUE)</f>
        <v>27.892621053250195</v>
      </c>
      <c r="O8" s="18">
        <f>TREND(O3:O6,C3:C6,C8,TRUE)</f>
        <v>26.167328039860422</v>
      </c>
      <c r="P8" s="18">
        <f>TREND(P3:P6,C3:C6,C8,TRUE)</f>
        <v>28.278756312110545</v>
      </c>
      <c r="Q8" s="18">
        <f>TREND(Q3:Q6,C3:C6,C8,TRUE)</f>
        <v>28.35796871090065</v>
      </c>
      <c r="R8" s="18">
        <f>TREND(R3:R6,C3:C6,C8,TRUE)</f>
        <v>32.916419825038929</v>
      </c>
      <c r="S8" s="19">
        <f>TREND(S3:S6,C3:C6,C8,TRUE)</f>
        <v>24.605020521662937</v>
      </c>
      <c r="V8" t="s">
        <v>76</v>
      </c>
    </row>
    <row r="9" spans="2:22">
      <c r="B9" s="37" t="s">
        <v>74</v>
      </c>
      <c r="C9" s="16">
        <v>2034</v>
      </c>
      <c r="D9" s="17">
        <f>TREND(D3:D6,C3:C6,C9,TRUE)</f>
        <v>14.763438838046568</v>
      </c>
      <c r="E9" s="18">
        <f>TREND(E3:E6,C3:C6,C9,TRUE)</f>
        <v>17.330536675209714</v>
      </c>
      <c r="F9" s="18">
        <f>TREND(F3:F6,C3:C6,C9,TRUE)</f>
        <v>16.038105424226387</v>
      </c>
      <c r="G9" s="18">
        <f>TREND(G3:G6,C3:C6,C9,TRUE)</f>
        <v>18.992525776444381</v>
      </c>
      <c r="H9" s="18">
        <f>TREND(H3:H6,C3:C6,C9,TRUE)</f>
        <v>16.707422818427858</v>
      </c>
      <c r="I9" s="18">
        <f>TREND(I3:I6,C3:C6,C9,TRUE)</f>
        <v>20.370932073678432</v>
      </c>
      <c r="J9" s="18">
        <f>TREND(J3:J6,C3:C6,C9,TRUE)</f>
        <v>18.318234680654541</v>
      </c>
      <c r="K9" s="18">
        <f>TREND(K3:K6,C3:C6,C9,TRUE)</f>
        <v>21.119818399639598</v>
      </c>
      <c r="L9" s="18">
        <f>TREND(L3:L6,C3:C6,C9,TRUE)</f>
        <v>21.796504437064868</v>
      </c>
      <c r="M9" s="18">
        <f>TREND(M3:M6,C3:C6,C9,TRUE)</f>
        <v>20.570690837015718</v>
      </c>
      <c r="N9" s="18">
        <f>TREND(N3:N6,C3:C6,C9,TRUE)</f>
        <v>21.824256048611915</v>
      </c>
      <c r="O9" s="18">
        <f>TREND(O3:O6,C3:C6,C9,TRUE)</f>
        <v>20.16831214104468</v>
      </c>
      <c r="P9" s="18">
        <f>TREND(P3:P6,C3:C6,C9,TRUE)</f>
        <v>22.298753845961073</v>
      </c>
      <c r="Q9" s="18">
        <f>TREND(Q3:Q6,C3:C6,C9,TRUE)</f>
        <v>22.40321329993003</v>
      </c>
      <c r="R9" s="18">
        <f>TREND(R3:R6,C3:C6,C9,TRUE)</f>
        <v>27.030660137647601</v>
      </c>
      <c r="S9" s="19">
        <f>TREND(S3:S6,C3:C6,C9,TRUE)</f>
        <v>17.70825992952814</v>
      </c>
      <c r="V9" t="s">
        <v>81</v>
      </c>
    </row>
    <row r="10" spans="2:22">
      <c r="B10" s="37" t="s">
        <v>74</v>
      </c>
      <c r="C10" s="20">
        <v>1978</v>
      </c>
      <c r="D10" s="17">
        <v>67.013987944048409</v>
      </c>
      <c r="E10" s="18">
        <v>70.939278909310673</v>
      </c>
      <c r="F10" s="18">
        <v>65.934258346181835</v>
      </c>
      <c r="G10" s="18">
        <v>69.198498368614509</v>
      </c>
      <c r="H10" s="18">
        <v>67.310675833693608</v>
      </c>
      <c r="I10" s="18">
        <v>68.097759994446832</v>
      </c>
      <c r="J10" s="18">
        <v>65.850145244374033</v>
      </c>
      <c r="K10" s="18">
        <v>69.562389174886974</v>
      </c>
      <c r="L10" s="18">
        <v>70.628520384993138</v>
      </c>
      <c r="M10" s="18">
        <v>71.550465509332994</v>
      </c>
      <c r="N10" s="18">
        <v>73.889569611423283</v>
      </c>
      <c r="O10" s="18">
        <v>71.730621210467461</v>
      </c>
      <c r="P10" s="18">
        <v>73.541136167276306</v>
      </c>
      <c r="Q10" s="18">
        <v>73.608254212219592</v>
      </c>
      <c r="R10" s="18">
        <v>76.950843126688014</v>
      </c>
      <c r="S10" s="19">
        <v>77.693211289432256</v>
      </c>
      <c r="V10" t="s">
        <v>79</v>
      </c>
    </row>
    <row r="11" spans="2:22">
      <c r="B11" s="38" t="s">
        <v>74</v>
      </c>
      <c r="C11" s="21" t="s">
        <v>58</v>
      </c>
      <c r="D11" s="22">
        <v>48.114343352522553</v>
      </c>
      <c r="E11" s="23">
        <v>54.401891936820192</v>
      </c>
      <c r="F11" s="23">
        <v>48.080352432749628</v>
      </c>
      <c r="G11" s="23">
        <v>53.172496197606314</v>
      </c>
      <c r="H11" s="23">
        <v>49.413618406098401</v>
      </c>
      <c r="I11" s="23">
        <v>52.186018485337257</v>
      </c>
      <c r="J11" s="23">
        <v>48.375804609641946</v>
      </c>
      <c r="K11" s="23">
        <v>54.06883776336656</v>
      </c>
      <c r="L11" s="23">
        <v>55.108287686749705</v>
      </c>
      <c r="M11" s="23">
        <v>56.359441348972354</v>
      </c>
      <c r="N11" s="23">
        <v>58.155080338398101</v>
      </c>
      <c r="O11" s="23">
        <v>55.682130935482263</v>
      </c>
      <c r="P11" s="23">
        <v>57.736493098225175</v>
      </c>
      <c r="Q11" s="23">
        <v>57.841856267954036</v>
      </c>
      <c r="R11" s="23">
        <v>61.861131101527306</v>
      </c>
      <c r="S11" s="24">
        <v>59.991949517753405</v>
      </c>
      <c r="V11" t="s">
        <v>82</v>
      </c>
    </row>
    <row r="12" spans="2:22">
      <c r="B12" s="36" t="s">
        <v>80</v>
      </c>
      <c r="C12" s="12">
        <v>1982</v>
      </c>
      <c r="D12" s="13">
        <v>193.31808177389337</v>
      </c>
      <c r="E12" s="14">
        <v>199.21381636157551</v>
      </c>
      <c r="F12" s="14">
        <v>189.93178578782286</v>
      </c>
      <c r="G12" s="14">
        <v>197.18925980493091</v>
      </c>
      <c r="H12" s="14">
        <v>191.38267767220478</v>
      </c>
      <c r="I12" s="14">
        <v>193.84996191774633</v>
      </c>
      <c r="J12" s="14">
        <v>190.08637374983257</v>
      </c>
      <c r="K12" s="14">
        <v>196.72578578382473</v>
      </c>
      <c r="L12" s="14">
        <v>199.17134815176126</v>
      </c>
      <c r="M12" s="14">
        <v>201.0874112663499</v>
      </c>
      <c r="N12" s="14">
        <v>209.04012730067788</v>
      </c>
      <c r="O12" s="14">
        <v>202.76188496160788</v>
      </c>
      <c r="P12" s="14">
        <v>207.94949553508064</v>
      </c>
      <c r="Q12" s="14">
        <v>208.85600310255418</v>
      </c>
      <c r="R12" s="14">
        <v>218.20873672868444</v>
      </c>
      <c r="S12" s="15">
        <v>211.78068620023066</v>
      </c>
      <c r="V12" t="s">
        <v>75</v>
      </c>
    </row>
    <row r="13" spans="2:22">
      <c r="B13" s="37" t="s">
        <v>80</v>
      </c>
      <c r="C13" s="16">
        <v>1995</v>
      </c>
      <c r="D13" s="17">
        <v>179.73254863233734</v>
      </c>
      <c r="E13" s="18">
        <v>184.24513576673269</v>
      </c>
      <c r="F13" s="18">
        <v>176.51572367276847</v>
      </c>
      <c r="G13" s="18">
        <v>182.53156828917724</v>
      </c>
      <c r="H13" s="18">
        <v>177.45308886059098</v>
      </c>
      <c r="I13" s="18">
        <v>179.32502054042814</v>
      </c>
      <c r="J13" s="18">
        <v>176.33070189291789</v>
      </c>
      <c r="K13" s="18">
        <v>181.8014385296452</v>
      </c>
      <c r="L13" s="18">
        <v>184.34399169986787</v>
      </c>
      <c r="M13" s="18">
        <v>186.07035921260692</v>
      </c>
      <c r="N13" s="18">
        <v>190.71665603828615</v>
      </c>
      <c r="O13" s="18">
        <v>186.29166408453662</v>
      </c>
      <c r="P13" s="18">
        <v>190.39047204002935</v>
      </c>
      <c r="Q13" s="18">
        <v>190.73057355272445</v>
      </c>
      <c r="R13" s="18">
        <v>197.45691307850541</v>
      </c>
      <c r="S13" s="19">
        <v>192.83814742330077</v>
      </c>
      <c r="V13" t="s">
        <v>60</v>
      </c>
    </row>
    <row r="14" spans="2:22">
      <c r="B14" s="37" t="s">
        <v>80</v>
      </c>
      <c r="C14" s="16">
        <v>2006</v>
      </c>
      <c r="D14" s="17">
        <v>176.47559637209059</v>
      </c>
      <c r="E14" s="18">
        <v>177.0995016322394</v>
      </c>
      <c r="F14" s="18">
        <v>171.17399891650493</v>
      </c>
      <c r="G14" s="18">
        <v>175.62813129081849</v>
      </c>
      <c r="H14" s="18">
        <v>172.66991182109138</v>
      </c>
      <c r="I14" s="18">
        <v>171.64189087885043</v>
      </c>
      <c r="J14" s="18">
        <v>168.26377308174389</v>
      </c>
      <c r="K14" s="18">
        <v>173.11290538609009</v>
      </c>
      <c r="L14" s="18">
        <v>175.28475130589146</v>
      </c>
      <c r="M14" s="18">
        <v>175.81462238596814</v>
      </c>
      <c r="N14" s="18">
        <v>182.39727287084219</v>
      </c>
      <c r="O14" s="18">
        <v>178.89661217872472</v>
      </c>
      <c r="P14" s="18">
        <v>181.92327375443043</v>
      </c>
      <c r="Q14" s="18">
        <v>182.65562847712965</v>
      </c>
      <c r="R14" s="18">
        <v>184.84913830155148</v>
      </c>
      <c r="S14" s="19">
        <v>187.81990592383949</v>
      </c>
    </row>
    <row r="15" spans="2:22">
      <c r="B15" s="37" t="s">
        <v>80</v>
      </c>
      <c r="C15" s="16">
        <v>2013</v>
      </c>
      <c r="D15" s="17">
        <v>170.85435986830137</v>
      </c>
      <c r="E15" s="18">
        <v>170.91984135392906</v>
      </c>
      <c r="F15" s="18">
        <v>166.31235644189809</v>
      </c>
      <c r="G15" s="18">
        <v>169.56534055130311</v>
      </c>
      <c r="H15" s="18">
        <v>167.24887602377294</v>
      </c>
      <c r="I15" s="18">
        <v>167.08399685746443</v>
      </c>
      <c r="J15" s="18">
        <v>164.99834477133658</v>
      </c>
      <c r="K15" s="18">
        <v>167.83493891846399</v>
      </c>
      <c r="L15" s="18">
        <v>169.41505058642673</v>
      </c>
      <c r="M15" s="18">
        <v>170.87611373100134</v>
      </c>
      <c r="N15" s="18">
        <v>174.83561260452629</v>
      </c>
      <c r="O15" s="18">
        <v>172.32615801036718</v>
      </c>
      <c r="P15" s="18">
        <v>174.73831394570129</v>
      </c>
      <c r="Q15" s="18">
        <v>175.37538906869401</v>
      </c>
      <c r="R15" s="18">
        <v>177.94611710942701</v>
      </c>
      <c r="S15" s="19">
        <v>177.95009125747404</v>
      </c>
    </row>
    <row r="16" spans="2:22">
      <c r="B16" s="37" t="s">
        <v>80</v>
      </c>
      <c r="C16" s="16">
        <v>2020</v>
      </c>
      <c r="D16" s="17">
        <f>TREND(D12:D15,C12:C15,C16,TRUE)</f>
        <v>165.66061064271321</v>
      </c>
      <c r="E16" s="18">
        <f>TREND(E12:E15,C12:C15,C16,TRUE)</f>
        <v>164.12073060135799</v>
      </c>
      <c r="F16" s="18">
        <f>TREND(F12:F15,C12:C15,C16,TRUE)</f>
        <v>160.39336133180109</v>
      </c>
      <c r="G16" s="18">
        <f>TREND(G12:G15,C12:C15,C16,TRUE)</f>
        <v>162.93826213893431</v>
      </c>
      <c r="H16" s="18">
        <f>TREND(H12:H15,C12:C15,C16,TRUE)</f>
        <v>161.4140407679115</v>
      </c>
      <c r="I16" s="18">
        <f>TREND(I12:I15,C12:C15,C16,TRUE)</f>
        <v>159.95033555817531</v>
      </c>
      <c r="J16" s="18">
        <f>TREND(J12:J15,C12:C15,C16,TRUE)</f>
        <v>157.77738677049228</v>
      </c>
      <c r="K16" s="18">
        <f>TREND(K12:K15,C12:C15,C16,TRUE)</f>
        <v>160.39357219535691</v>
      </c>
      <c r="L16" s="18">
        <f>TREND(L12:L15,C12:C15,C16,TRUE)</f>
        <v>162.02799765672853</v>
      </c>
      <c r="M16" s="18">
        <f>TREND(M12:M15,C12:C15,C16,TRUE)</f>
        <v>162.85160107026468</v>
      </c>
      <c r="N16" s="18">
        <f>TREND(N12:N15,C12:C15,C16,TRUE)</f>
        <v>166.64113477483124</v>
      </c>
      <c r="O16" s="18">
        <f>TREND(O12:O15,C12:C15,C16,TRUE)</f>
        <v>164.93671568321884</v>
      </c>
      <c r="P16" s="18">
        <f>TREND(P12:P15,C12:C15,C16,TRUE)</f>
        <v>166.72314515435801</v>
      </c>
      <c r="Q16" s="18">
        <f>TREND(Q12:Q15,C12:C15,C16,TRUE)</f>
        <v>167.2730903435363</v>
      </c>
      <c r="R16" s="18">
        <f>TREND(R12:R15,C12:C15,C16,TRUE)</f>
        <v>167.34628457684175</v>
      </c>
      <c r="S16" s="19">
        <f>TREND(S12:S15,C12:C15,C16,TRUE)</f>
        <v>171.00219614386924</v>
      </c>
    </row>
    <row r="17" spans="2:19">
      <c r="B17" s="37" t="s">
        <v>80</v>
      </c>
      <c r="C17" s="16">
        <v>2027</v>
      </c>
      <c r="D17" s="17">
        <f>TREND(D12:D15,C12:C15,C17,TRUE)</f>
        <v>160.84909863639905</v>
      </c>
      <c r="E17" s="18">
        <f>TREND(E12:E15,C12:C15,C17,TRUE)</f>
        <v>157.87111620893756</v>
      </c>
      <c r="F17" s="18">
        <f>TREND(F12:F15,C12:C15,C17,TRUE)</f>
        <v>155.19665970748542</v>
      </c>
      <c r="G17" s="18">
        <f>TREND(G12:G15,C12:C15,C17,TRUE)</f>
        <v>156.84149119055996</v>
      </c>
      <c r="H17" s="18">
        <f>TREND(H12:H15,C12:C15,C17,TRUE)</f>
        <v>156.15584149241022</v>
      </c>
      <c r="I17" s="18">
        <f>TREND(I12:I15,C12:C15,C17,TRUE)</f>
        <v>153.9420415613597</v>
      </c>
      <c r="J17" s="18">
        <f>TREND(J12:J15,C12:C15,C17,TRUE)</f>
        <v>152.06324956933713</v>
      </c>
      <c r="K17" s="18">
        <f>TREND(K12:K15,C12:C15,C17,TRUE)</f>
        <v>153.90184054230735</v>
      </c>
      <c r="L17" s="18">
        <f>TREND(L12:L15,C12:C15,C17,TRUE)</f>
        <v>155.35273506364229</v>
      </c>
      <c r="M17" s="18">
        <f>TREND(M12:M15,C12:C15,C17,TRUE)</f>
        <v>155.98142587735924</v>
      </c>
      <c r="N17" s="18">
        <f>TREND(N12:N15,C12:C15,C17,TRUE)</f>
        <v>159.10570729858091</v>
      </c>
      <c r="O17" s="18">
        <f>TREND(O12:O15,C12:C15,C17,TRUE)</f>
        <v>158.22592764135538</v>
      </c>
      <c r="P17" s="18">
        <f>TREND(P12:P15,C12:C15,C17,TRUE)</f>
        <v>159.38073059954058</v>
      </c>
      <c r="Q17" s="18">
        <f>TREND(Q12:Q15,C12:C15,C17,TRUE)</f>
        <v>159.89598760795616</v>
      </c>
      <c r="R17" s="18">
        <f>TREND(R12:R15,C12:C15,C17,TRUE)</f>
        <v>158.25663733427473</v>
      </c>
      <c r="S17" s="19">
        <f>TREND(S12:S15,C12:C15,C17,TRUE)</f>
        <v>163.80385895808877</v>
      </c>
    </row>
    <row r="18" spans="2:19">
      <c r="B18" s="37" t="s">
        <v>80</v>
      </c>
      <c r="C18" s="16">
        <v>2034</v>
      </c>
      <c r="D18" s="17">
        <f>TREND(D12:D15,C12:C15,C18,TRUE)</f>
        <v>156.03758663008489</v>
      </c>
      <c r="E18" s="18">
        <f>TREND(E12:E15,C12:C15,C18,TRUE)</f>
        <v>151.62150181651714</v>
      </c>
      <c r="F18" s="18">
        <f>TREND(F12:F15,C12:C15,C18,TRUE)</f>
        <v>149.99995808316953</v>
      </c>
      <c r="G18" s="18">
        <f>TREND(G12:G15,C12:C15,C18,TRUE)</f>
        <v>150.74472024218562</v>
      </c>
      <c r="H18" s="18">
        <f>TREND(H12:H15,C12:C15,C18,TRUE)</f>
        <v>150.89764221690893</v>
      </c>
      <c r="I18" s="18">
        <f>TREND(I12:I15,C12:C15,C18,TRUE)</f>
        <v>147.93374756454386</v>
      </c>
      <c r="J18" s="18">
        <f>TREND(J12:J15,C12:C15,C18,TRUE)</f>
        <v>146.34911236818198</v>
      </c>
      <c r="K18" s="18">
        <f>TREND(K12:K15,C12:C15,C18,TRUE)</f>
        <v>147.41010888925757</v>
      </c>
      <c r="L18" s="18">
        <f>TREND(L12:L15,C12:C15,C18,TRUE)</f>
        <v>148.67747247055604</v>
      </c>
      <c r="M18" s="18">
        <f>TREND(M12:M15,C12:C15,C18,TRUE)</f>
        <v>149.11125068445358</v>
      </c>
      <c r="N18" s="18">
        <f>TREND(N12:N15,C12:C15,C18,TRUE)</f>
        <v>151.57027982233012</v>
      </c>
      <c r="O18" s="18">
        <f>TREND(O12:O15,C12:C15,C18,TRUE)</f>
        <v>151.51513959949193</v>
      </c>
      <c r="P18" s="18">
        <f>TREND(P12:P15,C12:C15,C18,TRUE)</f>
        <v>152.03831604472316</v>
      </c>
      <c r="Q18" s="18">
        <f>TREND(Q12:Q15,C12:C15,C18,TRUE)</f>
        <v>152.51888487237647</v>
      </c>
      <c r="R18" s="18">
        <f>TREND(R12:R15,C12:C15,C18,TRUE)</f>
        <v>149.16699009170816</v>
      </c>
      <c r="S18" s="19">
        <f>TREND(S12:S15,C12:C15,C18,TRUE)</f>
        <v>156.60552177230829</v>
      </c>
    </row>
    <row r="19" spans="2:19">
      <c r="B19" s="37" t="s">
        <v>80</v>
      </c>
      <c r="C19" s="20">
        <v>1978</v>
      </c>
      <c r="D19" s="17">
        <v>197.00975745302691</v>
      </c>
      <c r="E19" s="18">
        <v>203.07218036395042</v>
      </c>
      <c r="F19" s="18">
        <v>193.03814622385968</v>
      </c>
      <c r="G19" s="18">
        <v>200.83558861570512</v>
      </c>
      <c r="H19" s="18">
        <v>194.61599494635499</v>
      </c>
      <c r="I19" s="18">
        <v>197.02203972948607</v>
      </c>
      <c r="J19" s="18">
        <v>193.02432266563781</v>
      </c>
      <c r="K19" s="18">
        <v>200.09010601059907</v>
      </c>
      <c r="L19" s="18">
        <v>202.8605789701999</v>
      </c>
      <c r="M19" s="18">
        <v>204.95437925926518</v>
      </c>
      <c r="N19" s="18">
        <v>213.6623773321632</v>
      </c>
      <c r="O19" s="18">
        <v>206.8982993924831</v>
      </c>
      <c r="P19" s="18">
        <v>212.4984477233609</v>
      </c>
      <c r="Q19" s="18">
        <v>213.48301891318647</v>
      </c>
      <c r="R19" s="18">
        <v>223.46135300949757</v>
      </c>
      <c r="S19" s="19">
        <v>216.8479768427913</v>
      </c>
    </row>
    <row r="20" spans="2:19">
      <c r="B20" s="38" t="s">
        <v>80</v>
      </c>
      <c r="C20" s="21" t="s">
        <v>58</v>
      </c>
      <c r="D20" s="22">
        <v>190.27497985938552</v>
      </c>
      <c r="E20" s="23">
        <v>192.41664984117403</v>
      </c>
      <c r="F20" s="23">
        <v>182.73974527870013</v>
      </c>
      <c r="G20" s="23">
        <v>188.79487158983915</v>
      </c>
      <c r="H20" s="23">
        <v>184.50286366553186</v>
      </c>
      <c r="I20" s="23">
        <v>183.11848078795282</v>
      </c>
      <c r="J20" s="23">
        <v>177.93234752605287</v>
      </c>
      <c r="K20" s="23">
        <v>185.19352781603774</v>
      </c>
      <c r="L20" s="23">
        <v>187.9540574092473</v>
      </c>
      <c r="M20" s="23">
        <v>190.30045998564668</v>
      </c>
      <c r="N20" s="23">
        <v>199.91177111466058</v>
      </c>
      <c r="O20" s="23">
        <v>194.33017613791972</v>
      </c>
      <c r="P20" s="23">
        <v>198.24119560284907</v>
      </c>
      <c r="Q20" s="23">
        <v>199.24515575741705</v>
      </c>
      <c r="R20" s="23">
        <v>202.22800774838925</v>
      </c>
      <c r="S20" s="24">
        <v>207.64987915631315</v>
      </c>
    </row>
    <row r="21" spans="2:19">
      <c r="B21" s="36" t="s">
        <v>59</v>
      </c>
      <c r="C21" s="12">
        <v>1982</v>
      </c>
      <c r="D21" s="13">
        <v>47.77099550407651</v>
      </c>
      <c r="E21" s="14">
        <v>52.119612671519775</v>
      </c>
      <c r="F21" s="14">
        <v>48.936159303324835</v>
      </c>
      <c r="G21" s="14">
        <v>52.083705321142581</v>
      </c>
      <c r="H21" s="14">
        <v>49.722597809596067</v>
      </c>
      <c r="I21" s="14">
        <v>52.582629305112917</v>
      </c>
      <c r="J21" s="14">
        <v>50.678480872701016</v>
      </c>
      <c r="K21" s="14">
        <v>53.375130493279975</v>
      </c>
      <c r="L21" s="14">
        <v>53.982685389954668</v>
      </c>
      <c r="M21" s="14">
        <v>54.839503473885401</v>
      </c>
      <c r="N21" s="14">
        <v>55.817162390415014</v>
      </c>
      <c r="O21" s="14">
        <v>53.530273695146441</v>
      </c>
      <c r="P21" s="14">
        <v>55.448225841426449</v>
      </c>
      <c r="Q21" s="14">
        <v>56.441965893032716</v>
      </c>
      <c r="R21" s="14">
        <v>60.827954993406109</v>
      </c>
      <c r="S21" s="15">
        <v>54.595106224652987</v>
      </c>
    </row>
    <row r="22" spans="2:19">
      <c r="B22" s="37" t="s">
        <v>59</v>
      </c>
      <c r="C22" s="16">
        <v>1995</v>
      </c>
      <c r="D22" s="17">
        <v>42.829803574401822</v>
      </c>
      <c r="E22" s="18">
        <v>47.852664766469474</v>
      </c>
      <c r="F22" s="18">
        <v>45.299365708034777</v>
      </c>
      <c r="G22" s="18">
        <v>47.903328508570183</v>
      </c>
      <c r="H22" s="18">
        <v>45.841655878849281</v>
      </c>
      <c r="I22" s="18">
        <v>48.399401917064921</v>
      </c>
      <c r="J22" s="18">
        <v>47.090485378133586</v>
      </c>
      <c r="K22" s="18">
        <v>49.127246213760436</v>
      </c>
      <c r="L22" s="18">
        <v>49.743939415692168</v>
      </c>
      <c r="M22" s="18">
        <v>50.444848817976535</v>
      </c>
      <c r="N22" s="18">
        <v>49.955911124171067</v>
      </c>
      <c r="O22" s="18">
        <v>48.185853474994786</v>
      </c>
      <c r="P22" s="18">
        <v>49.851466903883676</v>
      </c>
      <c r="Q22" s="18">
        <v>50.530750733270153</v>
      </c>
      <c r="R22" s="18">
        <v>54.554437349521379</v>
      </c>
      <c r="S22" s="19">
        <v>48.083030363938043</v>
      </c>
    </row>
    <row r="23" spans="2:19">
      <c r="B23" s="37" t="s">
        <v>59</v>
      </c>
      <c r="C23" s="16">
        <v>2006</v>
      </c>
      <c r="D23" s="17">
        <v>39.854913474028969</v>
      </c>
      <c r="E23" s="18">
        <v>42.790881011197797</v>
      </c>
      <c r="F23" s="18">
        <v>41.948642096111293</v>
      </c>
      <c r="G23" s="18">
        <v>43.988743503769975</v>
      </c>
      <c r="H23" s="18">
        <v>42.519436996194322</v>
      </c>
      <c r="I23" s="18">
        <v>44.07940647768735</v>
      </c>
      <c r="J23" s="18">
        <v>42.753059448627091</v>
      </c>
      <c r="K23" s="18">
        <v>44.599505845558234</v>
      </c>
      <c r="L23" s="18">
        <v>45.191420287088022</v>
      </c>
      <c r="M23" s="18">
        <v>44.68127430055695</v>
      </c>
      <c r="N23" s="18">
        <v>45.532074357909664</v>
      </c>
      <c r="O23" s="18">
        <v>44.064676748637922</v>
      </c>
      <c r="P23" s="18">
        <v>45.429674213819361</v>
      </c>
      <c r="Q23" s="18">
        <v>46.139577141175877</v>
      </c>
      <c r="R23" s="18">
        <v>49.085074626587392</v>
      </c>
      <c r="S23" s="19">
        <v>44.707900709693256</v>
      </c>
    </row>
    <row r="24" spans="2:19">
      <c r="B24" s="37" t="s">
        <v>59</v>
      </c>
      <c r="C24" s="16">
        <v>2013</v>
      </c>
      <c r="D24" s="17">
        <v>36.521019043675139</v>
      </c>
      <c r="E24" s="18">
        <v>38.953074625841573</v>
      </c>
      <c r="F24" s="18">
        <v>37.528013241094158</v>
      </c>
      <c r="G24" s="18">
        <v>39.2763240301732</v>
      </c>
      <c r="H24" s="18">
        <v>37.848468658213044</v>
      </c>
      <c r="I24" s="18">
        <v>39.879208204347208</v>
      </c>
      <c r="J24" s="18">
        <v>39.281253268741295</v>
      </c>
      <c r="K24" s="18">
        <v>40.346369858275764</v>
      </c>
      <c r="L24" s="18">
        <v>40.663789925723002</v>
      </c>
      <c r="M24" s="18">
        <v>40.966559972464736</v>
      </c>
      <c r="N24" s="18">
        <v>41.378486634076047</v>
      </c>
      <c r="O24" s="18">
        <v>40.167837058618545</v>
      </c>
      <c r="P24" s="18">
        <v>41.336185276125555</v>
      </c>
      <c r="Q24" s="18">
        <v>41.864974065422004</v>
      </c>
      <c r="R24" s="18">
        <v>44.824385457991092</v>
      </c>
      <c r="S24" s="19">
        <v>40.304876025091254</v>
      </c>
    </row>
    <row r="25" spans="2:19">
      <c r="B25" s="37" t="s">
        <v>59</v>
      </c>
      <c r="C25" s="16">
        <v>2020</v>
      </c>
      <c r="D25" s="17">
        <f>TREND(D21:D24,C21:C24,C25,TRUE)</f>
        <v>34.369461052350516</v>
      </c>
      <c r="E25" s="18">
        <f>TREND(E21:E24,C21:C24,C25,TRUE)</f>
        <v>36.549308967898014</v>
      </c>
      <c r="F25" s="18">
        <f>TREND(F21:F24,C21:C24,C25,TRUE)</f>
        <v>36.017737251228823</v>
      </c>
      <c r="G25" s="18">
        <f>TREND(G21:G24,C21:C24,C25,TRUE)</f>
        <v>37.44179291465457</v>
      </c>
      <c r="H25" s="18">
        <f>TREND(H21:H24,C21:C24,C25,TRUE)</f>
        <v>36.303295312269711</v>
      </c>
      <c r="I25" s="18">
        <f>TREND(I21:I24,C21:C24,C25,TRUE)</f>
        <v>37.810818823942782</v>
      </c>
      <c r="J25" s="18">
        <f>TREND(J21:J24,C21:C24,C25,TRUE)</f>
        <v>37.288219299579168</v>
      </c>
      <c r="K25" s="18">
        <f>TREND(K21:K24,C21:C24,C25,TRUE)</f>
        <v>38.200880974669985</v>
      </c>
      <c r="L25" s="18">
        <f>TREND(L21:L24,C21:C24,C25,TRUE)</f>
        <v>38.573610436855461</v>
      </c>
      <c r="M25" s="18">
        <f>TREND(M21:M24,C21:C24,C25,TRUE)</f>
        <v>38.273493756128914</v>
      </c>
      <c r="N25" s="18">
        <f>TREND(N21:N24,C21:C24,C25,TRUE)</f>
        <v>38.599029523411218</v>
      </c>
      <c r="O25" s="18">
        <f>TREND(O21:O24,C21:C24,C25,TRUE)</f>
        <v>37.63067329201624</v>
      </c>
      <c r="P25" s="18">
        <f>TREND(P21:P24,C21:C24,C25,TRUE)</f>
        <v>38.649953032080703</v>
      </c>
      <c r="Q25" s="18">
        <f>TREND(Q21:Q24,C21:C24,C25,TRUE)</f>
        <v>39.10150846655165</v>
      </c>
      <c r="R25" s="18">
        <f>TREND(R21:R24,C21:C24,C25,TRUE)</f>
        <v>41.587913333697998</v>
      </c>
      <c r="S25" s="19">
        <f>TREND(S21:S24,C21:C24,C25,TRUE)</f>
        <v>37.635941936170866</v>
      </c>
    </row>
    <row r="26" spans="2:19">
      <c r="B26" s="37" t="s">
        <v>59</v>
      </c>
      <c r="C26" s="16">
        <v>2027</v>
      </c>
      <c r="D26" s="17">
        <f>TREND(D21:D24,C21:C24,C26,TRUE)</f>
        <v>31.91122043678547</v>
      </c>
      <c r="E26" s="18">
        <f>TREND(E21:E24,C21:C24,C26,TRUE)</f>
        <v>33.589392534278318</v>
      </c>
      <c r="F26" s="18">
        <f>TREND(F21:F24,C21:C24,C26,TRUE)</f>
        <v>33.547634639258035</v>
      </c>
      <c r="G26" s="18">
        <f>TREND(G21:G24,C21:C24,C26,TRUE)</f>
        <v>34.651382105901462</v>
      </c>
      <c r="H26" s="18">
        <f>TREND(H21:H24,C21:C24,C26,TRUE)</f>
        <v>33.743380471121895</v>
      </c>
      <c r="I26" s="18">
        <f>TREND(I21:I24,C21:C24,C26,TRUE)</f>
        <v>35.002704606572706</v>
      </c>
      <c r="J26" s="18">
        <f>TREND(J21:J24,C21:C24,C26,TRUE)</f>
        <v>34.734019152088649</v>
      </c>
      <c r="K26" s="18">
        <f>TREND(K21:K24,C21:C24,C26,TRUE)</f>
        <v>35.313820265320487</v>
      </c>
      <c r="L26" s="18">
        <f>TREND(L21:L24,C21:C24,C26,TRUE)</f>
        <v>35.63299433093573</v>
      </c>
      <c r="M26" s="18">
        <f>TREND(M21:M24,C21:C24,C26,TRUE)</f>
        <v>35.120309461098145</v>
      </c>
      <c r="N26" s="18">
        <f>TREND(N21:N24,C21:C24,C26,TRUE)</f>
        <v>35.408403155667315</v>
      </c>
      <c r="O26" s="18">
        <f>TREND(O21:O24,C21:C24,C26,TRUE)</f>
        <v>34.678510974571964</v>
      </c>
      <c r="P26" s="18">
        <f>TREND(P21:P24,C21:C24,C26,TRUE)</f>
        <v>35.527808023169769</v>
      </c>
      <c r="Q26" s="18">
        <f>TREND(Q21:Q24,C21:C24,C26,TRUE)</f>
        <v>35.8872389693272</v>
      </c>
      <c r="R26" s="18">
        <f>TREND(R21:R24,C21:C24,C26,TRUE)</f>
        <v>38.009563409305201</v>
      </c>
      <c r="S26" s="19">
        <f>TREND(S21:S24,C21:C24,C26,TRUE)</f>
        <v>34.540346471279918</v>
      </c>
    </row>
    <row r="27" spans="2:19">
      <c r="B27" s="37" t="s">
        <v>59</v>
      </c>
      <c r="C27" s="16">
        <v>2034</v>
      </c>
      <c r="D27" s="17">
        <f>TREND(D21:D24,C21:C24,C27,TRUE)</f>
        <v>29.452979821220424</v>
      </c>
      <c r="E27" s="18">
        <f>TREND(E21:E24,C21:C24,C27,TRUE)</f>
        <v>30.629476100658621</v>
      </c>
      <c r="F27" s="18">
        <f>TREND(F21:F24,C21:C24,C27,TRUE)</f>
        <v>31.077532027287134</v>
      </c>
      <c r="G27" s="18">
        <f>TREND(G21:G24,C21:C24,C27,TRUE)</f>
        <v>31.860971297148353</v>
      </c>
      <c r="H27" s="18">
        <f>TREND(H21:H24,C21:C24,C27,TRUE)</f>
        <v>31.183465629973966</v>
      </c>
      <c r="I27" s="18">
        <f>TREND(I21:I24,C21:C24,C27,TRUE)</f>
        <v>32.194590389202631</v>
      </c>
      <c r="J27" s="18">
        <f>TREND(J21:J24,C21:C24,C27,TRUE)</f>
        <v>32.17981900459813</v>
      </c>
      <c r="K27" s="18">
        <f>TREND(K21:K24,C21:C24,C27,TRUE)</f>
        <v>32.426759555970989</v>
      </c>
      <c r="L27" s="18">
        <f>TREND(L21:L24,C21:C24,C27,TRUE)</f>
        <v>32.692378225016114</v>
      </c>
      <c r="M27" s="18">
        <f>TREND(M21:M24,C21:C24,C27,TRUE)</f>
        <v>31.96712516606749</v>
      </c>
      <c r="N27" s="18">
        <f>TREND(N21:N24,C21:C24,C27,TRUE)</f>
        <v>32.217776787923412</v>
      </c>
      <c r="O27" s="18">
        <f>TREND(O21:O24,C21:C24,C27,TRUE)</f>
        <v>31.726348657127573</v>
      </c>
      <c r="P27" s="18">
        <f>TREND(P21:P24,C21:C24,C27,TRUE)</f>
        <v>32.405663014258835</v>
      </c>
      <c r="Q27" s="18">
        <f>TREND(Q21:Q24,C21:C24,C27,TRUE)</f>
        <v>32.672969472102636</v>
      </c>
      <c r="R27" s="18">
        <f>TREND(R21:R24,C21:C24,C27,TRUE)</f>
        <v>34.431213484912632</v>
      </c>
      <c r="S27" s="19">
        <f>TREND(S21:S24,C21:C24,C27,TRUE)</f>
        <v>31.444751006388856</v>
      </c>
    </row>
    <row r="28" spans="2:19">
      <c r="B28" s="37" t="s">
        <v>59</v>
      </c>
      <c r="C28" s="20">
        <v>1978</v>
      </c>
      <c r="D28" s="17">
        <v>49.177342115483683</v>
      </c>
      <c r="E28" s="18">
        <v>53.881572139407382</v>
      </c>
      <c r="F28" s="18">
        <v>50.372828273920014</v>
      </c>
      <c r="G28" s="18">
        <v>53.813060720231547</v>
      </c>
      <c r="H28" s="18">
        <v>51.253421352476266</v>
      </c>
      <c r="I28" s="18">
        <v>54.331786401029369</v>
      </c>
      <c r="J28" s="18">
        <v>52.233335222716306</v>
      </c>
      <c r="K28" s="18">
        <v>55.206323976102041</v>
      </c>
      <c r="L28" s="18">
        <v>55.860700206570471</v>
      </c>
      <c r="M28" s="18">
        <v>56.80733020304838</v>
      </c>
      <c r="N28" s="18">
        <v>57.904906454101138</v>
      </c>
      <c r="O28" s="18">
        <v>55.416632064233546</v>
      </c>
      <c r="P28" s="18">
        <v>57.489816723015657</v>
      </c>
      <c r="Q28" s="18">
        <v>58.58026341230395</v>
      </c>
      <c r="R28" s="18">
        <v>63.337152776936158</v>
      </c>
      <c r="S28" s="19">
        <v>56.593048071309788</v>
      </c>
    </row>
    <row r="29" spans="2:19">
      <c r="B29" s="38" t="s">
        <v>59</v>
      </c>
      <c r="C29" s="21" t="s">
        <v>58</v>
      </c>
      <c r="D29" s="22">
        <v>45.301645926027305</v>
      </c>
      <c r="E29" s="23">
        <v>49.888853939447394</v>
      </c>
      <c r="F29" s="23">
        <v>47.044644503582965</v>
      </c>
      <c r="G29" s="23">
        <v>49.420584945508388</v>
      </c>
      <c r="H29" s="23">
        <v>47.850925073597374</v>
      </c>
      <c r="I29" s="23">
        <v>49.278742502521297</v>
      </c>
      <c r="J29" s="23">
        <v>47.308935650288639</v>
      </c>
      <c r="K29" s="23">
        <v>49.79039884563673</v>
      </c>
      <c r="L29" s="23">
        <v>50.387232084407692</v>
      </c>
      <c r="M29" s="23">
        <v>51.197545057588577</v>
      </c>
      <c r="N29" s="23">
        <v>51.517753332228295</v>
      </c>
      <c r="O29" s="23">
        <v>49.694352062525653</v>
      </c>
      <c r="P29" s="23">
        <v>51.135299832957422</v>
      </c>
      <c r="Q29" s="23">
        <v>52.005360502660395</v>
      </c>
      <c r="R29" s="23">
        <v>54.851070319912935</v>
      </c>
      <c r="S29" s="24">
        <v>51.184951046025176</v>
      </c>
    </row>
    <row r="30" spans="2:19">
      <c r="B30" s="36" t="s">
        <v>78</v>
      </c>
      <c r="C30" s="12">
        <v>1982</v>
      </c>
      <c r="D30" s="13">
        <v>48.800549120569919</v>
      </c>
      <c r="E30" s="14">
        <v>54.387674349183705</v>
      </c>
      <c r="F30" s="14">
        <v>50.961388718854778</v>
      </c>
      <c r="G30" s="14">
        <v>54.648581480479471</v>
      </c>
      <c r="H30" s="14">
        <v>51.826818100711449</v>
      </c>
      <c r="I30" s="14">
        <v>56.086913325612969</v>
      </c>
      <c r="J30" s="14">
        <v>54.648295183024338</v>
      </c>
      <c r="K30" s="14">
        <v>56.871782090252971</v>
      </c>
      <c r="L30" s="14">
        <v>57.298562098766375</v>
      </c>
      <c r="M30" s="14">
        <v>58.122961074546787</v>
      </c>
      <c r="N30" s="14">
        <v>58.250741660502875</v>
      </c>
      <c r="O30" s="14">
        <v>56.069511549133061</v>
      </c>
      <c r="P30" s="14">
        <v>58.285691764944104</v>
      </c>
      <c r="Q30" s="14">
        <v>59.127277258062804</v>
      </c>
      <c r="R30" s="14">
        <v>65.021875046030402</v>
      </c>
      <c r="S30" s="15">
        <v>56.292815546688303</v>
      </c>
    </row>
    <row r="31" spans="2:19">
      <c r="B31" s="37" t="s">
        <v>78</v>
      </c>
      <c r="C31" s="16">
        <v>1995</v>
      </c>
      <c r="D31" s="17">
        <v>44.986146130472214</v>
      </c>
      <c r="E31" s="18">
        <v>50.386069368074111</v>
      </c>
      <c r="F31" s="18">
        <v>47.601258869767378</v>
      </c>
      <c r="G31" s="18">
        <v>50.66367013014181</v>
      </c>
      <c r="H31" s="18">
        <v>48.278112666765239</v>
      </c>
      <c r="I31" s="18">
        <v>52.041055483906099</v>
      </c>
      <c r="J31" s="18">
        <v>50.987412607492061</v>
      </c>
      <c r="K31" s="18">
        <v>52.712789208441144</v>
      </c>
      <c r="L31" s="18">
        <v>53.093586359003027</v>
      </c>
      <c r="M31" s="18">
        <v>53.768448845795213</v>
      </c>
      <c r="N31" s="18">
        <v>52.992589827574534</v>
      </c>
      <c r="O31" s="18">
        <v>51.358895255405109</v>
      </c>
      <c r="P31" s="18">
        <v>53.18725652829982</v>
      </c>
      <c r="Q31" s="18">
        <v>53.745606858311014</v>
      </c>
      <c r="R31" s="18">
        <v>58.838922954753812</v>
      </c>
      <c r="S31" s="19">
        <v>50.609444590395135</v>
      </c>
    </row>
    <row r="32" spans="2:19">
      <c r="B32" s="37" t="s">
        <v>78</v>
      </c>
      <c r="C32" s="16">
        <v>2006</v>
      </c>
      <c r="D32" s="17">
        <v>42.955131194340503</v>
      </c>
      <c r="E32" s="18">
        <v>46.664910317392106</v>
      </c>
      <c r="F32" s="18">
        <v>44.908204142111686</v>
      </c>
      <c r="G32" s="18">
        <v>47.415882899026968</v>
      </c>
      <c r="H32" s="18">
        <v>45.576768644247764</v>
      </c>
      <c r="I32" s="18">
        <v>48.203009041256855</v>
      </c>
      <c r="J32" s="18">
        <v>47.132793634817943</v>
      </c>
      <c r="K32" s="18">
        <v>48.813641052910867</v>
      </c>
      <c r="L32" s="18">
        <v>49.220694038729491</v>
      </c>
      <c r="M32" s="18">
        <v>49.204383940269636</v>
      </c>
      <c r="N32" s="18">
        <v>49.40873981947319</v>
      </c>
      <c r="O32" s="18">
        <v>48.077271133105853</v>
      </c>
      <c r="P32" s="18">
        <v>49.550606874159442</v>
      </c>
      <c r="Q32" s="18">
        <v>50.165742360631128</v>
      </c>
      <c r="R32" s="18">
        <v>54.011801962335518</v>
      </c>
      <c r="S32" s="19">
        <v>48.008593771412869</v>
      </c>
    </row>
    <row r="33" spans="2:19">
      <c r="B33" s="37" t="s">
        <v>78</v>
      </c>
      <c r="C33" s="16">
        <v>2013</v>
      </c>
      <c r="D33" s="17">
        <v>40.869737734377495</v>
      </c>
      <c r="E33" s="18">
        <v>44.113978177253827</v>
      </c>
      <c r="F33" s="18">
        <v>42.365435441555327</v>
      </c>
      <c r="G33" s="18">
        <v>44.453373415598556</v>
      </c>
      <c r="H33" s="18">
        <v>42.867486136807855</v>
      </c>
      <c r="I33" s="18">
        <v>45.496841032475693</v>
      </c>
      <c r="J33" s="18">
        <v>44.834274699751255</v>
      </c>
      <c r="K33" s="18">
        <v>45.941386492614718</v>
      </c>
      <c r="L33" s="18">
        <v>46.17025431902691</v>
      </c>
      <c r="M33" s="18">
        <v>46.571984092638438</v>
      </c>
      <c r="N33" s="18">
        <v>46.46238129749522</v>
      </c>
      <c r="O33" s="18">
        <v>45.368448603407259</v>
      </c>
      <c r="P33" s="18">
        <v>46.614775633597432</v>
      </c>
      <c r="Q33" s="18">
        <v>47.077512402338627</v>
      </c>
      <c r="R33" s="18">
        <v>50.63796246454843</v>
      </c>
      <c r="S33" s="19">
        <v>44.848722606199956</v>
      </c>
    </row>
    <row r="34" spans="2:19">
      <c r="B34" s="37" t="s">
        <v>78</v>
      </c>
      <c r="C34" s="16">
        <v>2020</v>
      </c>
      <c r="D34" s="17">
        <f>TREND(D30:D33,C30:C33,C34,TRUE)</f>
        <v>39.183754442161785</v>
      </c>
      <c r="E34" s="18">
        <f>TREND(E30:E33,C30:C33,C34,TRUE)</f>
        <v>41.943470473325988</v>
      </c>
      <c r="F34" s="18">
        <f>TREND(F30:F33,C30:C33,C34,TRUE)</f>
        <v>40.759476358556071</v>
      </c>
      <c r="G34" s="18">
        <f>TREND(G30:G33,C30:C33,C34,TRUE)</f>
        <v>42.521076419275118</v>
      </c>
      <c r="H34" s="18">
        <f>TREND(H30:H33,C30:C33,C34,TRUE)</f>
        <v>41.219642548885304</v>
      </c>
      <c r="I34" s="18">
        <f>TREND(I30:I33,C30:C33,C34,TRUE)</f>
        <v>43.306839947577714</v>
      </c>
      <c r="J34" s="18">
        <f>TREND(J30:J33,C30:C33,C34,TRUE)</f>
        <v>42.705082007046144</v>
      </c>
      <c r="K34" s="18">
        <f>TREND(K30:K33,C30:C33,C34,TRUE)</f>
        <v>43.723576736286304</v>
      </c>
      <c r="L34" s="18">
        <f>TREND(L30:L33,C30:C33,C34,TRUE)</f>
        <v>43.98040851310202</v>
      </c>
      <c r="M34" s="18">
        <f>TREND(M30:M33,C30:C33,C34,TRUE)</f>
        <v>44.023782589758639</v>
      </c>
      <c r="N34" s="18">
        <f>TREND(N30:N33,C30:C33,C34,TRUE)</f>
        <v>43.917035945098405</v>
      </c>
      <c r="O34" s="18">
        <f>TREND(O30:O33,C30:C33,C34,TRUE)</f>
        <v>43.081658765215138</v>
      </c>
      <c r="P34" s="18">
        <f>TREND(P30:P33,C30:C33,C34,TRUE)</f>
        <v>44.114967679008146</v>
      </c>
      <c r="Q34" s="18">
        <f>TREND(Q30:Q33,C30:C33,C34,TRUE)</f>
        <v>44.514641658151845</v>
      </c>
      <c r="R34" s="18">
        <f>TREND(R30:R33,C30:C33,C34,TRUE)</f>
        <v>47.440398667659565</v>
      </c>
      <c r="S34" s="19">
        <f>TREND(S30:S33,C30:C33,C34,TRUE)</f>
        <v>42.476365464782361</v>
      </c>
    </row>
    <row r="35" spans="2:19">
      <c r="B35" s="37" t="s">
        <v>78</v>
      </c>
      <c r="C35" s="16">
        <v>2027</v>
      </c>
      <c r="D35" s="17">
        <f>TREND(D30:D33,C30:C33,C35,TRUE)</f>
        <v>37.44404224123565</v>
      </c>
      <c r="E35" s="18">
        <f>TREND(E30:E33,C30:C33,C35,TRUE)</f>
        <v>39.628574613442652</v>
      </c>
      <c r="F35" s="18">
        <f>TREND(F30:F33,C30:C33,C35,TRUE)</f>
        <v>38.859611213717358</v>
      </c>
      <c r="G35" s="18">
        <f>TREND(G30:G33,C30:C33,C35,TRUE)</f>
        <v>40.262976231929542</v>
      </c>
      <c r="H35" s="18">
        <f>TREND(H30:H33,C30:C33,C35,TRUE)</f>
        <v>39.247091269469365</v>
      </c>
      <c r="I35" s="18">
        <f>TREND(I30:I33,C30:C33,C35,TRUE)</f>
        <v>40.92346835649937</v>
      </c>
      <c r="J35" s="18">
        <f>TREND(J30:J33,C30:C33,C35,TRUE)</f>
        <v>40.473211332304345</v>
      </c>
      <c r="K35" s="18">
        <f>TREND(K30:K33,C30:C33,C35,TRUE)</f>
        <v>41.269802411363457</v>
      </c>
      <c r="L35" s="18">
        <f>TREND(L30:L33,C30:C33,C35,TRUE)</f>
        <v>41.491953282842132</v>
      </c>
      <c r="M35" s="18">
        <f>TREND(M30:M33,C30:C33,C35,TRUE)</f>
        <v>41.39272862357393</v>
      </c>
      <c r="N35" s="18">
        <f>TREND(N30:N33,C30:C33,C35,TRUE)</f>
        <v>41.296510209710846</v>
      </c>
      <c r="O35" s="18">
        <f>TREND(O30:O33,C30:C33,C35,TRUE)</f>
        <v>40.702701141865873</v>
      </c>
      <c r="P35" s="18">
        <f>TREND(P30:P33,C30:C33,C35,TRUE)</f>
        <v>41.516762671927381</v>
      </c>
      <c r="Q35" s="18">
        <f>TREND(Q30:Q33,C30:C33,C35,TRUE)</f>
        <v>41.84317730425721</v>
      </c>
      <c r="R35" s="18">
        <f>TREND(R30:R33,C30:C33,C35,TRUE)</f>
        <v>44.211318021240345</v>
      </c>
      <c r="S35" s="19">
        <f>TREND(S30:S33,C30:C33,C35,TRUE)</f>
        <v>39.988522576818468</v>
      </c>
    </row>
    <row r="36" spans="2:19">
      <c r="B36" s="37" t="s">
        <v>78</v>
      </c>
      <c r="C36" s="16">
        <v>2034</v>
      </c>
      <c r="D36" s="17">
        <f>TREND(D30:D33,C30:C33,C36,TRUE)</f>
        <v>35.704330040309515</v>
      </c>
      <c r="E36" s="18">
        <f>TREND(E30:E33,C30:C33,C36,TRUE)</f>
        <v>37.313678753559202</v>
      </c>
      <c r="F36" s="18">
        <f>TREND(F30:F33,C30:C33,C36,TRUE)</f>
        <v>36.959746068878644</v>
      </c>
      <c r="G36" s="18">
        <f>TREND(G30:G33,C30:C33,C36,TRUE)</f>
        <v>38.004876044583966</v>
      </c>
      <c r="H36" s="18">
        <f>TREND(H30:H33,C30:C33,C36,TRUE)</f>
        <v>37.274539990053313</v>
      </c>
      <c r="I36" s="18">
        <f>TREND(I30:I33,C30:C33,C36,TRUE)</f>
        <v>38.540096765421026</v>
      </c>
      <c r="J36" s="18">
        <f>TREND(J30:J33,C30:C33,C36,TRUE)</f>
        <v>38.241340657562546</v>
      </c>
      <c r="K36" s="18">
        <f>TREND(K30:K33,C30:C33,C36,TRUE)</f>
        <v>38.816028086440497</v>
      </c>
      <c r="L36" s="18">
        <f>TREND(L30:L33,C30:C33,C36,TRUE)</f>
        <v>39.003498052582358</v>
      </c>
      <c r="M36" s="18">
        <f>TREND(M30:M33,C30:C33,C36,TRUE)</f>
        <v>38.761674657389335</v>
      </c>
      <c r="N36" s="18">
        <f>TREND(N30:N33,C30:C33,C36,TRUE)</f>
        <v>38.675984474323172</v>
      </c>
      <c r="O36" s="18">
        <f>TREND(O30:O33,C30:C33,C36,TRUE)</f>
        <v>38.323743518516608</v>
      </c>
      <c r="P36" s="18">
        <f>TREND(P30:P33,C30:C33,C36,TRUE)</f>
        <v>38.91855766484673</v>
      </c>
      <c r="Q36" s="18">
        <f>TREND(Q30:Q33,C30:C33,C36,TRUE)</f>
        <v>39.171712950362576</v>
      </c>
      <c r="R36" s="18">
        <f>TREND(R30:R33,C30:C33,C36,TRUE)</f>
        <v>40.982237374821239</v>
      </c>
      <c r="S36" s="19">
        <f>TREND(S30:S33,C30:C33,C36,TRUE)</f>
        <v>37.500679688854575</v>
      </c>
    </row>
    <row r="37" spans="2:19">
      <c r="B37" s="37" t="s">
        <v>78</v>
      </c>
      <c r="C37" s="20">
        <v>1978</v>
      </c>
      <c r="D37" s="17">
        <v>49.792302430051038</v>
      </c>
      <c r="E37" s="18">
        <v>57.578553645020612</v>
      </c>
      <c r="F37" s="18">
        <v>52.276198734250137</v>
      </c>
      <c r="G37" s="18">
        <v>57.579871862544408</v>
      </c>
      <c r="H37" s="18">
        <v>53.201910837407475</v>
      </c>
      <c r="I37" s="18">
        <v>58.572256406173587</v>
      </c>
      <c r="J37" s="18">
        <v>56.361958106786069</v>
      </c>
      <c r="K37" s="18">
        <v>60.718478985804083</v>
      </c>
      <c r="L37" s="18">
        <v>61.426575750055513</v>
      </c>
      <c r="M37" s="18">
        <v>63.856606833512856</v>
      </c>
      <c r="N37" s="18">
        <v>65.587982536134916</v>
      </c>
      <c r="O37" s="18">
        <v>60.9626907150314</v>
      </c>
      <c r="P37" s="18">
        <v>65.529689540195662</v>
      </c>
      <c r="Q37" s="18">
        <v>66.534398485410946</v>
      </c>
      <c r="R37" s="18">
        <v>75.974012003424008</v>
      </c>
      <c r="S37" s="19">
        <v>58.282860860182616</v>
      </c>
    </row>
    <row r="38" spans="2:19">
      <c r="B38" s="38" t="s">
        <v>78</v>
      </c>
      <c r="C38" s="21" t="s">
        <v>58</v>
      </c>
      <c r="D38" s="22">
        <v>46.925112565894565</v>
      </c>
      <c r="E38" s="23">
        <v>51.878145146750057</v>
      </c>
      <c r="F38" s="23">
        <v>48.84587296298568</v>
      </c>
      <c r="G38" s="23">
        <v>51.759504357669144</v>
      </c>
      <c r="H38" s="23">
        <v>49.696723175998073</v>
      </c>
      <c r="I38" s="23">
        <v>52.568250665681212</v>
      </c>
      <c r="J38" s="23">
        <v>51.153094091458186</v>
      </c>
      <c r="K38" s="23">
        <v>53.146055798078159</v>
      </c>
      <c r="L38" s="23">
        <v>53.568207501981519</v>
      </c>
      <c r="M38" s="23">
        <v>54.314822228018819</v>
      </c>
      <c r="N38" s="23">
        <v>54.273976782590879</v>
      </c>
      <c r="O38" s="23">
        <v>52.575432620532538</v>
      </c>
      <c r="P38" s="23">
        <v>54.27560190054524</v>
      </c>
      <c r="Q38" s="23">
        <v>55.048312858699198</v>
      </c>
      <c r="R38" s="23">
        <v>59.243423875175431</v>
      </c>
      <c r="S38" s="24">
        <v>53.326245785479585</v>
      </c>
    </row>
    <row r="39" spans="2:19">
      <c r="B39" s="36" t="s">
        <v>76</v>
      </c>
      <c r="C39" s="12">
        <v>1982</v>
      </c>
      <c r="D39" s="13">
        <v>10.744406993940693</v>
      </c>
      <c r="E39" s="14">
        <v>10.757415772300867</v>
      </c>
      <c r="F39" s="14">
        <v>10.751363610773046</v>
      </c>
      <c r="G39" s="14">
        <v>10.759292645916483</v>
      </c>
      <c r="H39" s="14">
        <v>10.750746390833571</v>
      </c>
      <c r="I39" s="14">
        <v>10.761846041047265</v>
      </c>
      <c r="J39" s="14">
        <v>10.760938663174038</v>
      </c>
      <c r="K39" s="14">
        <v>10.766124548772</v>
      </c>
      <c r="L39" s="14">
        <v>10.771184923328935</v>
      </c>
      <c r="M39" s="14">
        <v>10.774348019427006</v>
      </c>
      <c r="N39" s="14">
        <v>10.771641641109468</v>
      </c>
      <c r="O39" s="14">
        <v>10.764787314181422</v>
      </c>
      <c r="P39" s="14">
        <v>10.887262975361445</v>
      </c>
      <c r="Q39" s="14">
        <v>10.781991280489732</v>
      </c>
      <c r="R39" s="14">
        <v>10.800427561172485</v>
      </c>
      <c r="S39" s="15">
        <v>10.781185900263942</v>
      </c>
    </row>
    <row r="40" spans="2:19">
      <c r="B40" s="37" t="s">
        <v>76</v>
      </c>
      <c r="C40" s="16">
        <v>1995</v>
      </c>
      <c r="D40" s="17">
        <v>6.8415328787782546</v>
      </c>
      <c r="E40" s="18">
        <v>6.8525296014362889</v>
      </c>
      <c r="F40" s="18">
        <v>6.8480221503075489</v>
      </c>
      <c r="G40" s="18">
        <v>6.8546376768044466</v>
      </c>
      <c r="H40" s="18">
        <v>6.8476233790935863</v>
      </c>
      <c r="I40" s="18">
        <v>6.857506656216624</v>
      </c>
      <c r="J40" s="18">
        <v>6.8566943415323873</v>
      </c>
      <c r="K40" s="18">
        <v>6.8612686397778129</v>
      </c>
      <c r="L40" s="18">
        <v>6.8656913629832177</v>
      </c>
      <c r="M40" s="18">
        <v>6.868532976524893</v>
      </c>
      <c r="N40" s="18">
        <v>6.8639201535103123</v>
      </c>
      <c r="O40" s="18">
        <v>6.8580934283040635</v>
      </c>
      <c r="P40" s="18">
        <v>6.8662179567243564</v>
      </c>
      <c r="Q40" s="18">
        <v>6.8735373971757312</v>
      </c>
      <c r="R40" s="18">
        <v>6.8895095273481095</v>
      </c>
      <c r="S40" s="19">
        <v>6.8691179153646953</v>
      </c>
    </row>
    <row r="41" spans="2:19">
      <c r="B41" s="37" t="s">
        <v>76</v>
      </c>
      <c r="C41" s="16">
        <v>2006</v>
      </c>
      <c r="D41" s="17">
        <v>6.7589893629924109</v>
      </c>
      <c r="E41" s="18">
        <v>6.7690760774653924</v>
      </c>
      <c r="F41" s="18">
        <v>6.7651752187536038</v>
      </c>
      <c r="G41" s="18">
        <v>6.7711312809089881</v>
      </c>
      <c r="H41" s="18">
        <v>6.7647253291562928</v>
      </c>
      <c r="I41" s="18">
        <v>6.7739572188549362</v>
      </c>
      <c r="J41" s="18">
        <v>6.7732621257441563</v>
      </c>
      <c r="K41" s="18">
        <v>6.7774223491431815</v>
      </c>
      <c r="L41" s="18">
        <v>6.7812113000427789</v>
      </c>
      <c r="M41" s="18">
        <v>6.7826708308488186</v>
      </c>
      <c r="N41" s="18">
        <v>6.7792212167434602</v>
      </c>
      <c r="O41" s="18">
        <v>6.7740869809049729</v>
      </c>
      <c r="P41" s="18">
        <v>6.7813564188628632</v>
      </c>
      <c r="Q41" s="18">
        <v>6.7874859487546715</v>
      </c>
      <c r="R41" s="18">
        <v>6.8023736465285474</v>
      </c>
      <c r="S41" s="19">
        <v>6.7827946946238526</v>
      </c>
    </row>
    <row r="42" spans="2:19">
      <c r="B42" s="37" t="s">
        <v>76</v>
      </c>
      <c r="C42" s="16">
        <v>2013</v>
      </c>
      <c r="D42" s="17">
        <v>6.7472201788596093</v>
      </c>
      <c r="E42" s="18">
        <v>6.75632063267342</v>
      </c>
      <c r="F42" s="18">
        <v>6.7528714968065762</v>
      </c>
      <c r="G42" s="18">
        <v>6.7582990522667679</v>
      </c>
      <c r="H42" s="18">
        <v>6.7531185069988746</v>
      </c>
      <c r="I42" s="18">
        <v>6.7606150019755233</v>
      </c>
      <c r="J42" s="18">
        <v>6.7599865965685906</v>
      </c>
      <c r="K42" s="18">
        <v>6.7631505162996577</v>
      </c>
      <c r="L42" s="18">
        <v>6.766462424281892</v>
      </c>
      <c r="M42" s="18">
        <v>6.7685680818886746</v>
      </c>
      <c r="N42" s="18">
        <v>6.7653657170948724</v>
      </c>
      <c r="O42" s="18">
        <v>6.7607360228882838</v>
      </c>
      <c r="P42" s="18">
        <v>6.7670487978372353</v>
      </c>
      <c r="Q42" s="18">
        <v>6.7727483913052735</v>
      </c>
      <c r="R42" s="18">
        <v>6.7857252870978719</v>
      </c>
      <c r="S42" s="19">
        <v>6.768010668332213</v>
      </c>
    </row>
    <row r="43" spans="2:19">
      <c r="B43" s="37" t="s">
        <v>76</v>
      </c>
      <c r="C43" s="16">
        <v>2020</v>
      </c>
      <c r="D43" s="17">
        <f t="shared" ref="D43:S45" si="0">D42*0.9</f>
        <v>6.0724981609736481</v>
      </c>
      <c r="E43" s="18">
        <f t="shared" si="0"/>
        <v>6.0806885694060782</v>
      </c>
      <c r="F43" s="18">
        <f t="shared" si="0"/>
        <v>6.077584347125919</v>
      </c>
      <c r="G43" s="18">
        <f t="shared" si="0"/>
        <v>6.0824691470400909</v>
      </c>
      <c r="H43" s="18">
        <f t="shared" si="0"/>
        <v>6.0778066562989874</v>
      </c>
      <c r="I43" s="18">
        <f t="shared" si="0"/>
        <v>6.0845535017779708</v>
      </c>
      <c r="J43" s="18">
        <f t="shared" si="0"/>
        <v>6.0839879369117318</v>
      </c>
      <c r="K43" s="18">
        <f t="shared" si="0"/>
        <v>6.0868354646696918</v>
      </c>
      <c r="L43" s="18">
        <f t="shared" si="0"/>
        <v>6.0898161818537027</v>
      </c>
      <c r="M43" s="18">
        <f t="shared" si="0"/>
        <v>6.0917112736998069</v>
      </c>
      <c r="N43" s="18">
        <f t="shared" si="0"/>
        <v>6.0888291453853851</v>
      </c>
      <c r="O43" s="18">
        <f t="shared" si="0"/>
        <v>6.0846624205994555</v>
      </c>
      <c r="P43" s="18">
        <f t="shared" si="0"/>
        <v>6.0903439180535122</v>
      </c>
      <c r="Q43" s="18">
        <f t="shared" si="0"/>
        <v>6.0954735521747461</v>
      </c>
      <c r="R43" s="18">
        <f t="shared" si="0"/>
        <v>6.1071527583880849</v>
      </c>
      <c r="S43" s="19">
        <f t="shared" si="0"/>
        <v>6.091209601498992</v>
      </c>
    </row>
    <row r="44" spans="2:19">
      <c r="B44" s="37" t="s">
        <v>76</v>
      </c>
      <c r="C44" s="16">
        <v>2027</v>
      </c>
      <c r="D44" s="17">
        <f t="shared" si="0"/>
        <v>5.4652483448762839</v>
      </c>
      <c r="E44" s="18">
        <f t="shared" si="0"/>
        <v>5.4726197124654705</v>
      </c>
      <c r="F44" s="18">
        <f t="shared" si="0"/>
        <v>5.4698259124133273</v>
      </c>
      <c r="G44" s="18">
        <f t="shared" si="0"/>
        <v>5.4742222323360821</v>
      </c>
      <c r="H44" s="18">
        <f t="shared" si="0"/>
        <v>5.4700259906690887</v>
      </c>
      <c r="I44" s="18">
        <f t="shared" si="0"/>
        <v>5.4760981516001737</v>
      </c>
      <c r="J44" s="18">
        <f t="shared" si="0"/>
        <v>5.4755891432205583</v>
      </c>
      <c r="K44" s="18">
        <f t="shared" si="0"/>
        <v>5.4781519182027232</v>
      </c>
      <c r="L44" s="18">
        <f t="shared" si="0"/>
        <v>5.4808345636683322</v>
      </c>
      <c r="M44" s="18">
        <f t="shared" si="0"/>
        <v>5.4825401463298267</v>
      </c>
      <c r="N44" s="18">
        <f t="shared" si="0"/>
        <v>5.4799462308468465</v>
      </c>
      <c r="O44" s="18">
        <f t="shared" si="0"/>
        <v>5.4761961785395101</v>
      </c>
      <c r="P44" s="18">
        <f t="shared" si="0"/>
        <v>5.481309526248161</v>
      </c>
      <c r="Q44" s="18">
        <f t="shared" si="0"/>
        <v>5.4859261969572719</v>
      </c>
      <c r="R44" s="18">
        <f t="shared" si="0"/>
        <v>5.4964374825492763</v>
      </c>
      <c r="S44" s="19">
        <f t="shared" si="0"/>
        <v>5.482088641349093</v>
      </c>
    </row>
    <row r="45" spans="2:19">
      <c r="B45" s="37" t="s">
        <v>76</v>
      </c>
      <c r="C45" s="16">
        <v>2034</v>
      </c>
      <c r="D45" s="17">
        <f t="shared" si="0"/>
        <v>4.9187235103886557</v>
      </c>
      <c r="E45" s="18">
        <f t="shared" si="0"/>
        <v>4.9253577412189236</v>
      </c>
      <c r="F45" s="18">
        <f t="shared" si="0"/>
        <v>4.9228433211719951</v>
      </c>
      <c r="G45" s="18">
        <f t="shared" si="0"/>
        <v>4.9268000091024744</v>
      </c>
      <c r="H45" s="18">
        <f t="shared" si="0"/>
        <v>4.9230233916021797</v>
      </c>
      <c r="I45" s="18">
        <f t="shared" si="0"/>
        <v>4.9284883364401564</v>
      </c>
      <c r="J45" s="18">
        <f t="shared" si="0"/>
        <v>4.9280302288985025</v>
      </c>
      <c r="K45" s="18">
        <f t="shared" si="0"/>
        <v>4.9303367263824507</v>
      </c>
      <c r="L45" s="18">
        <f t="shared" si="0"/>
        <v>4.9327511073014989</v>
      </c>
      <c r="M45" s="18">
        <f t="shared" si="0"/>
        <v>4.9342861316968438</v>
      </c>
      <c r="N45" s="18">
        <f t="shared" si="0"/>
        <v>4.9319516077621621</v>
      </c>
      <c r="O45" s="18">
        <f t="shared" si="0"/>
        <v>4.9285765606855589</v>
      </c>
      <c r="P45" s="18">
        <f t="shared" si="0"/>
        <v>4.9331785736233451</v>
      </c>
      <c r="Q45" s="18">
        <f t="shared" si="0"/>
        <v>4.937333577261545</v>
      </c>
      <c r="R45" s="18">
        <f t="shared" si="0"/>
        <v>4.9467937342943484</v>
      </c>
      <c r="S45" s="19">
        <f t="shared" si="0"/>
        <v>4.9338797772141838</v>
      </c>
    </row>
    <row r="46" spans="2:19">
      <c r="B46" s="37" t="s">
        <v>76</v>
      </c>
      <c r="C46" s="20">
        <v>1978</v>
      </c>
      <c r="D46" s="17">
        <v>11.744966612708078</v>
      </c>
      <c r="E46" s="18">
        <v>11.758979612240495</v>
      </c>
      <c r="F46" s="18">
        <v>11.751909945137276</v>
      </c>
      <c r="G46" s="18">
        <v>11.760785520574446</v>
      </c>
      <c r="H46" s="18">
        <v>11.751224815328863</v>
      </c>
      <c r="I46" s="18">
        <v>11.763379167446795</v>
      </c>
      <c r="J46" s="18">
        <v>11.762307674056967</v>
      </c>
      <c r="K46" s="18">
        <v>11.7682530024146</v>
      </c>
      <c r="L46" s="18">
        <v>11.774038120870163</v>
      </c>
      <c r="M46" s="18">
        <v>11.777555644844458</v>
      </c>
      <c r="N46" s="18">
        <v>11.775675636109698</v>
      </c>
      <c r="O46" s="18">
        <v>11.767586975577926</v>
      </c>
      <c r="P46" s="18">
        <v>11.778595016547452</v>
      </c>
      <c r="Q46" s="18">
        <v>11.78676067347992</v>
      </c>
      <c r="R46" s="18">
        <v>11.807208505057492</v>
      </c>
      <c r="S46" s="19">
        <v>11.788064112548867</v>
      </c>
    </row>
    <row r="47" spans="2:19">
      <c r="B47" s="38" t="s">
        <v>76</v>
      </c>
      <c r="C47" s="21" t="s">
        <v>58</v>
      </c>
      <c r="D47" s="22">
        <v>6.852912139109594</v>
      </c>
      <c r="E47" s="23">
        <v>6.852912139109594</v>
      </c>
      <c r="F47" s="23">
        <v>6.8467788895849031</v>
      </c>
      <c r="G47" s="23">
        <v>6.8545621682569031</v>
      </c>
      <c r="H47" s="23">
        <v>6.8460998706019431</v>
      </c>
      <c r="I47" s="23">
        <v>6.8569053775609374</v>
      </c>
      <c r="J47" s="23">
        <v>6.8560749429507952</v>
      </c>
      <c r="K47" s="23">
        <v>6.8611150455085133</v>
      </c>
      <c r="L47" s="23">
        <v>6.8659247168090713</v>
      </c>
      <c r="M47" s="23">
        <v>6.8687511861311474</v>
      </c>
      <c r="N47" s="23">
        <v>6.8670557774626539</v>
      </c>
      <c r="O47" s="23">
        <v>6.8604426952959372</v>
      </c>
      <c r="P47" s="23">
        <v>6.8698604603635536</v>
      </c>
      <c r="Q47" s="23">
        <v>6.8760714502155169</v>
      </c>
      <c r="R47" s="23">
        <v>6.8940248694123252</v>
      </c>
      <c r="S47" s="24">
        <v>6.8768645822215948</v>
      </c>
    </row>
    <row r="48" spans="2:19">
      <c r="B48" s="39" t="s">
        <v>81</v>
      </c>
      <c r="C48" s="12">
        <v>1982</v>
      </c>
      <c r="D48" s="13">
        <v>77.816445503106365</v>
      </c>
      <c r="E48" s="14">
        <v>88.604856858440499</v>
      </c>
      <c r="F48" s="14">
        <v>79.500486619086132</v>
      </c>
      <c r="G48" s="14">
        <v>87.374885566744581</v>
      </c>
      <c r="H48" s="14">
        <v>80.727218671952073</v>
      </c>
      <c r="I48" s="14">
        <v>87.036392441627925</v>
      </c>
      <c r="J48" s="14">
        <v>84.025588164712772</v>
      </c>
      <c r="K48" s="14">
        <v>90.485423647465581</v>
      </c>
      <c r="L48" s="14">
        <v>92.104491116424171</v>
      </c>
      <c r="M48" s="14">
        <v>93.943965923331945</v>
      </c>
      <c r="N48" s="14">
        <v>97.925273973211503</v>
      </c>
      <c r="O48" s="14">
        <v>92.740240509816815</v>
      </c>
      <c r="P48" s="14">
        <v>98.299448498369046</v>
      </c>
      <c r="Q48" s="14">
        <v>98.692056332269743</v>
      </c>
      <c r="R48" s="14">
        <v>112.15346632773684</v>
      </c>
      <c r="S48" s="15">
        <v>97.561799735137001</v>
      </c>
    </row>
    <row r="49" spans="2:19">
      <c r="B49" s="40" t="s">
        <v>81</v>
      </c>
      <c r="C49" s="16">
        <v>1995</v>
      </c>
      <c r="D49" s="17">
        <v>54.622609789265056</v>
      </c>
      <c r="E49" s="18">
        <v>60.70590697798437</v>
      </c>
      <c r="F49" s="18">
        <v>54.390231177395989</v>
      </c>
      <c r="G49" s="18">
        <v>59.320497551350527</v>
      </c>
      <c r="H49" s="18">
        <v>55.166043320208694</v>
      </c>
      <c r="I49" s="18">
        <v>59.093798828558981</v>
      </c>
      <c r="J49" s="18">
        <v>57.117648940992432</v>
      </c>
      <c r="K49" s="18">
        <v>61.451710055016839</v>
      </c>
      <c r="L49" s="18">
        <v>62.937272355591887</v>
      </c>
      <c r="M49" s="18">
        <v>64.085368541742582</v>
      </c>
      <c r="N49" s="18">
        <v>65.8269866946343</v>
      </c>
      <c r="O49" s="18">
        <v>62.886293340206734</v>
      </c>
      <c r="P49" s="18">
        <v>66.230250819919831</v>
      </c>
      <c r="Q49" s="18">
        <v>65.92091084427301</v>
      </c>
      <c r="R49" s="18">
        <v>73.007419274559808</v>
      </c>
      <c r="S49" s="19">
        <v>67.076087671427686</v>
      </c>
    </row>
    <row r="50" spans="2:19">
      <c r="B50" s="40" t="s">
        <v>81</v>
      </c>
      <c r="C50" s="16">
        <v>2006</v>
      </c>
      <c r="D50" s="17">
        <v>51.216197971753864</v>
      </c>
      <c r="E50" s="18">
        <v>54.159280425913906</v>
      </c>
      <c r="F50" s="18">
        <v>49.123599914674998</v>
      </c>
      <c r="G50" s="18">
        <v>52.802473535920925</v>
      </c>
      <c r="H50" s="18">
        <v>49.97998017971576</v>
      </c>
      <c r="I50" s="18">
        <v>51.229350463510229</v>
      </c>
      <c r="J50" s="18">
        <v>48.938310920709981</v>
      </c>
      <c r="K50" s="18">
        <v>53.044256561580646</v>
      </c>
      <c r="L50" s="18">
        <v>54.698373047968637</v>
      </c>
      <c r="M50" s="18">
        <v>55.081612464559015</v>
      </c>
      <c r="N50" s="18">
        <v>59.208056989983199</v>
      </c>
      <c r="O50" s="18">
        <v>56.284425522837758</v>
      </c>
      <c r="P50" s="18">
        <v>59.179749091199973</v>
      </c>
      <c r="Q50" s="18">
        <v>59.617009003564085</v>
      </c>
      <c r="R50" s="18">
        <v>63.655970527326218</v>
      </c>
      <c r="S50" s="19">
        <v>62.609943916594816</v>
      </c>
    </row>
    <row r="51" spans="2:19">
      <c r="B51" s="40" t="s">
        <v>81</v>
      </c>
      <c r="C51" s="16">
        <v>2013</v>
      </c>
      <c r="D51" s="17">
        <v>43.954620437112816</v>
      </c>
      <c r="E51" s="18">
        <v>45.812245024930895</v>
      </c>
      <c r="F51" s="18">
        <v>41.97449449387171</v>
      </c>
      <c r="G51" s="18">
        <v>44.607907671249926</v>
      </c>
      <c r="H51" s="18">
        <v>42.401713610224782</v>
      </c>
      <c r="I51" s="18">
        <v>44.12443094452987</v>
      </c>
      <c r="J51" s="18">
        <v>42.676588066944561</v>
      </c>
      <c r="K51" s="18">
        <v>45.099896454568878</v>
      </c>
      <c r="L51" s="18">
        <v>46.211662415230514</v>
      </c>
      <c r="M51" s="18">
        <v>47.125431735563637</v>
      </c>
      <c r="N51" s="18">
        <v>49.429035383206973</v>
      </c>
      <c r="O51" s="18">
        <v>47.453316564602574</v>
      </c>
      <c r="P51" s="18">
        <v>49.459291980339692</v>
      </c>
      <c r="Q51" s="18">
        <v>49.744226786714187</v>
      </c>
      <c r="R51" s="18">
        <v>53.12066775693043</v>
      </c>
      <c r="S51" s="19">
        <v>51.056013634222424</v>
      </c>
    </row>
    <row r="52" spans="2:19">
      <c r="B52" s="40" t="s">
        <v>81</v>
      </c>
      <c r="C52" s="16">
        <v>2020</v>
      </c>
      <c r="D52" s="17">
        <f>TREND(D48:D51,C48:C51,C52,TRUE)</f>
        <v>35.234594322494559</v>
      </c>
      <c r="E52" s="18">
        <f>TREND(E48:E51,C48:C51,C52,TRUE)</f>
        <v>34.500543549681424</v>
      </c>
      <c r="F52" s="18">
        <f>TREND(F48:F51,C48:C51,C52,TRUE)</f>
        <v>31.903962008967028</v>
      </c>
      <c r="G52" s="18">
        <f>TREND(G48:G51,C48:C51,C52,TRUE)</f>
        <v>33.209954760382971</v>
      </c>
      <c r="H52" s="18">
        <f>TREND(H48:H51,C48:C51,C52,TRUE)</f>
        <v>32.268004732870395</v>
      </c>
      <c r="I52" s="18">
        <f>TREND(I48:I51,C48:C51,C52,TRUE)</f>
        <v>32.129949556043357</v>
      </c>
      <c r="J52" s="18">
        <f>TREND(J48:J51,C48:C51,C52,TRUE)</f>
        <v>30.818317861849664</v>
      </c>
      <c r="K52" s="18">
        <f>TREND(K48:K51,C48:C51,C52,TRUE)</f>
        <v>32.686931471347179</v>
      </c>
      <c r="L52" s="18">
        <f>TREND(L48:L51,C48:C51,C52,TRUE)</f>
        <v>33.913141336887747</v>
      </c>
      <c r="M52" s="18">
        <f>TREND(M48:M51,C48:C51,C52,TRUE)</f>
        <v>34.205834976135975</v>
      </c>
      <c r="N52" s="18">
        <f>TREND(N48:N51,C48:C51,C52,TRUE)</f>
        <v>36.728122059176712</v>
      </c>
      <c r="O52" s="18">
        <f>TREND(O48:O51,C48:C51,C52,TRUE)</f>
        <v>35.449016473944539</v>
      </c>
      <c r="P52" s="18">
        <f>TREND(P48:P51,C48:C51,C52,TRUE)</f>
        <v>36.627113780793934</v>
      </c>
      <c r="Q52" s="18">
        <f>TREND(Q48:Q51,C48:C51,C52,TRUE)</f>
        <v>36.890064154938955</v>
      </c>
      <c r="R52" s="18">
        <f>TREND(R48:R51,C48:C51,C52,TRUE)</f>
        <v>36.945277862528201</v>
      </c>
      <c r="S52" s="19">
        <f>TREND(S48:S51,C48:C51,C52,TRUE)</f>
        <v>40.030826501812953</v>
      </c>
    </row>
    <row r="53" spans="2:19">
      <c r="B53" s="40" t="s">
        <v>81</v>
      </c>
      <c r="C53" s="16">
        <v>2027</v>
      </c>
      <c r="D53" s="17">
        <f>TREND(D48:D51,C48:C51,C53,TRUE)</f>
        <v>28.011969621556091</v>
      </c>
      <c r="E53" s="18">
        <f>TREND(E48:E51,C48:C51,C53,TRUE)</f>
        <v>25.22720062563576</v>
      </c>
      <c r="F53" s="18">
        <f>TREND(F48:F51,C48:C51,C53,TRUE)</f>
        <v>23.789548328204091</v>
      </c>
      <c r="G53" s="18">
        <f>TREND(G48:G51,C48:C51,C53,TRUE)</f>
        <v>23.937792653405268</v>
      </c>
      <c r="H53" s="18">
        <f>TREND(H48:H51,C48:C51,C53,TRUE)</f>
        <v>24.001093328652132</v>
      </c>
      <c r="I53" s="18">
        <f>TREND(I48:I51,C48:C51,C53,TRUE)</f>
        <v>22.716268351538929</v>
      </c>
      <c r="J53" s="18">
        <f>TREND(J48:J51,C48:C51,C53,TRUE)</f>
        <v>21.694579141352733</v>
      </c>
      <c r="K53" s="18">
        <f>TREND(K48:K51,C48:C51,C53,TRUE)</f>
        <v>22.742468068576727</v>
      </c>
      <c r="L53" s="18">
        <f>TREND(L48:L51,C48:C51,C53,TRUE)</f>
        <v>23.888205204582391</v>
      </c>
      <c r="M53" s="18">
        <f>TREND(M48:M51,C48:C51,C53,TRUE)</f>
        <v>23.921415079414601</v>
      </c>
      <c r="N53" s="18">
        <f>TREND(N48:N51,C48:C51,C53,TRUE)</f>
        <v>26.271716658815876</v>
      </c>
      <c r="O53" s="18">
        <f>TREND(O48:O51,C48:C51,C53,TRUE)</f>
        <v>25.651665637137739</v>
      </c>
      <c r="P53" s="18">
        <f>TREND(P48:P51,C48:C51,C53,TRUE)</f>
        <v>26.072090008573014</v>
      </c>
      <c r="Q53" s="18">
        <f>TREND(Q48:Q51,C48:C51,C53,TRUE)</f>
        <v>26.355568626016975</v>
      </c>
      <c r="R53" s="18">
        <f>TREND(R48:R51,C48:C51,C53,TRUE)</f>
        <v>24.098910159491879</v>
      </c>
      <c r="S53" s="19">
        <f>TREND(S48:S51,C48:C51,C53,TRUE)</f>
        <v>30.182448255968666</v>
      </c>
    </row>
    <row r="54" spans="2:19">
      <c r="B54" s="40" t="s">
        <v>81</v>
      </c>
      <c r="C54" s="16">
        <v>2034</v>
      </c>
      <c r="D54" s="17">
        <f>TREND(D48:D51,C48:C51,C54,TRUE)</f>
        <v>20.789344920617623</v>
      </c>
      <c r="E54" s="18">
        <f>TREND(E48:E51,C48:C51,C54,TRUE)</f>
        <v>15.95385770159055</v>
      </c>
      <c r="F54" s="18">
        <f>TREND(F48:F51,C48:C51,C54,TRUE)</f>
        <v>15.6751346474407</v>
      </c>
      <c r="G54" s="18">
        <f>TREND(G48:G51,C48:C51,C54,TRUE)</f>
        <v>14.665630546427565</v>
      </c>
      <c r="H54" s="18">
        <f>TREND(H48:H51,C48:C51,C54,TRUE)</f>
        <v>15.734181924433869</v>
      </c>
      <c r="I54" s="18">
        <f>TREND(I48:I51,C48:C51,C54,TRUE)</f>
        <v>13.302587147034501</v>
      </c>
      <c r="J54" s="18">
        <f>TREND(J48:J51,C48:C51,C54,TRUE)</f>
        <v>12.570840420856257</v>
      </c>
      <c r="K54" s="18">
        <f>TREND(K48:K51,C48:C51,C54,TRUE)</f>
        <v>12.798004665806275</v>
      </c>
      <c r="L54" s="18">
        <f>TREND(L48:L51,C48:C51,C54,TRUE)</f>
        <v>13.86326907227658</v>
      </c>
      <c r="M54" s="18">
        <f>TREND(M48:M51,C48:C51,C54,TRUE)</f>
        <v>13.636995182693227</v>
      </c>
      <c r="N54" s="18">
        <f>TREND(N48:N51,C48:C51,C54,TRUE)</f>
        <v>15.81531125845504</v>
      </c>
      <c r="O54" s="18">
        <f>TREND(O48:O51,C48:C51,C54,TRUE)</f>
        <v>15.854314800330485</v>
      </c>
      <c r="P54" s="18">
        <f>TREND(P48:P51,C48:C51,C54,TRUE)</f>
        <v>15.517066236352093</v>
      </c>
      <c r="Q54" s="18">
        <f>TREND(Q48:Q51,C48:C51,C54,TRUE)</f>
        <v>15.821073097094995</v>
      </c>
      <c r="R54" s="18">
        <f>TREND(R48:R51,C48:C51,C54,TRUE)</f>
        <v>11.252542456455103</v>
      </c>
      <c r="S54" s="19">
        <f>TREND(S48:S51,C48:C51,C54,TRUE)</f>
        <v>20.334070010124378</v>
      </c>
    </row>
    <row r="55" spans="2:19">
      <c r="B55" s="40" t="s">
        <v>81</v>
      </c>
      <c r="C55" s="20">
        <v>1978</v>
      </c>
      <c r="D55" s="17">
        <v>80.904723982543914</v>
      </c>
      <c r="E55" s="18">
        <v>92.685189892543832</v>
      </c>
      <c r="F55" s="18">
        <v>82.655007510376748</v>
      </c>
      <c r="G55" s="18">
        <v>91.333629600661254</v>
      </c>
      <c r="H55" s="18">
        <v>84.022927980375243</v>
      </c>
      <c r="I55" s="18">
        <v>90.886472433806475</v>
      </c>
      <c r="J55" s="18">
        <v>87.601847374923338</v>
      </c>
      <c r="K55" s="18">
        <v>94.660711397107832</v>
      </c>
      <c r="L55" s="18">
        <v>96.500063549341832</v>
      </c>
      <c r="M55" s="18">
        <v>98.539517913803977</v>
      </c>
      <c r="N55" s="18">
        <v>102.892865142075</v>
      </c>
      <c r="O55" s="18">
        <v>97.11113224484717</v>
      </c>
      <c r="P55" s="18">
        <v>103.31721298361937</v>
      </c>
      <c r="Q55" s="18">
        <v>103.73329585551635</v>
      </c>
      <c r="R55" s="18">
        <v>118.3743633955791</v>
      </c>
      <c r="S55" s="19">
        <v>102.49625992125213</v>
      </c>
    </row>
    <row r="56" spans="2:19">
      <c r="B56" s="41" t="s">
        <v>81</v>
      </c>
      <c r="C56" s="21" t="s">
        <v>58</v>
      </c>
      <c r="D56" s="22">
        <v>67.301981139621901</v>
      </c>
      <c r="E56" s="23">
        <v>72.854248029081589</v>
      </c>
      <c r="F56" s="23">
        <v>64.752190896890085</v>
      </c>
      <c r="G56" s="23">
        <v>69.987902516198417</v>
      </c>
      <c r="H56" s="23">
        <v>65.622776439637008</v>
      </c>
      <c r="I56" s="23">
        <v>67.688841091093323</v>
      </c>
      <c r="J56" s="23">
        <v>64.115142074997109</v>
      </c>
      <c r="K56" s="23">
        <v>70.065981992871812</v>
      </c>
      <c r="L56" s="23">
        <v>71.877931046742091</v>
      </c>
      <c r="M56" s="23">
        <v>73.864343486414654</v>
      </c>
      <c r="N56" s="23">
        <v>79.822699113864417</v>
      </c>
      <c r="O56" s="23">
        <v>75.503128138581999</v>
      </c>
      <c r="P56" s="23">
        <v>79.315676689390372</v>
      </c>
      <c r="Q56" s="23">
        <v>79.48684661944165</v>
      </c>
      <c r="R56" s="23">
        <v>85.721087271466786</v>
      </c>
      <c r="S56" s="24">
        <v>85.504512892072768</v>
      </c>
    </row>
    <row r="57" spans="2:19">
      <c r="B57" s="36" t="s">
        <v>79</v>
      </c>
      <c r="C57" s="12">
        <v>1982</v>
      </c>
      <c r="D57" s="13">
        <v>66.396370520057431</v>
      </c>
      <c r="E57" s="14">
        <v>65.187714306676881</v>
      </c>
      <c r="F57" s="14">
        <v>58.468051684260978</v>
      </c>
      <c r="G57" s="14">
        <v>61.984918827603174</v>
      </c>
      <c r="H57" s="14">
        <v>58.907825707381278</v>
      </c>
      <c r="I57" s="14">
        <v>57.695198535209883</v>
      </c>
      <c r="J57" s="14">
        <v>54.439929324941637</v>
      </c>
      <c r="K57" s="14">
        <v>59.099685484880759</v>
      </c>
      <c r="L57" s="14">
        <v>61.06081883174609</v>
      </c>
      <c r="M57" s="14">
        <v>62.475699893927235</v>
      </c>
      <c r="N57" s="14">
        <v>72.049453099197137</v>
      </c>
      <c r="O57" s="14">
        <v>67.67535415642989</v>
      </c>
      <c r="P57" s="14">
        <v>70.388996576647926</v>
      </c>
      <c r="Q57" s="14">
        <v>70.915527613057293</v>
      </c>
      <c r="R57" s="14">
        <v>70.209089716080044</v>
      </c>
      <c r="S57" s="15">
        <v>81.567932280073762</v>
      </c>
    </row>
    <row r="58" spans="2:19">
      <c r="B58" s="37" t="s">
        <v>79</v>
      </c>
      <c r="C58" s="16">
        <v>1995</v>
      </c>
      <c r="D58" s="17">
        <v>56.598257564483241</v>
      </c>
      <c r="E58" s="18">
        <v>55.865204731081349</v>
      </c>
      <c r="F58" s="18">
        <v>50.472008293256117</v>
      </c>
      <c r="G58" s="18">
        <v>52.990717070864157</v>
      </c>
      <c r="H58" s="18">
        <v>50.682564234430295</v>
      </c>
      <c r="I58" s="18">
        <v>48.957104294546689</v>
      </c>
      <c r="J58" s="18">
        <v>46.76866300870315</v>
      </c>
      <c r="K58" s="18">
        <v>49.973243880101428</v>
      </c>
      <c r="L58" s="18">
        <v>51.825463666201529</v>
      </c>
      <c r="M58" s="18">
        <v>52.935822621712305</v>
      </c>
      <c r="N58" s="18">
        <v>59.475604305771917</v>
      </c>
      <c r="O58" s="18">
        <v>56.661285801872374</v>
      </c>
      <c r="P58" s="18">
        <v>58.579846545136235</v>
      </c>
      <c r="Q58" s="18">
        <v>58.631939775296082</v>
      </c>
      <c r="R58" s="18">
        <v>56.974100470326128</v>
      </c>
      <c r="S58" s="19">
        <v>66.880598358707388</v>
      </c>
    </row>
    <row r="59" spans="2:19">
      <c r="B59" s="37" t="s">
        <v>79</v>
      </c>
      <c r="C59" s="16">
        <v>2006</v>
      </c>
      <c r="D59" s="17">
        <v>55.6939845887823</v>
      </c>
      <c r="E59" s="18">
        <v>50.854843947128863</v>
      </c>
      <c r="F59" s="18">
        <v>47.584840274044062</v>
      </c>
      <c r="G59" s="18">
        <v>47.976046950679979</v>
      </c>
      <c r="H59" s="18">
        <v>48.239307839918311</v>
      </c>
      <c r="I59" s="18">
        <v>42.785207628814298</v>
      </c>
      <c r="J59" s="18">
        <v>40.290241514005281</v>
      </c>
      <c r="K59" s="18">
        <v>42.769943149349665</v>
      </c>
      <c r="L59" s="18">
        <v>44.664100907763441</v>
      </c>
      <c r="M59" s="18">
        <v>44.99119825191714</v>
      </c>
      <c r="N59" s="18">
        <v>53.018342510644885</v>
      </c>
      <c r="O59" s="18">
        <v>51.092680238641726</v>
      </c>
      <c r="P59" s="18">
        <v>51.779287875186398</v>
      </c>
      <c r="Q59" s="18">
        <v>52.665176448096908</v>
      </c>
      <c r="R59" s="18">
        <v>45.889019374307246</v>
      </c>
      <c r="S59" s="19">
        <v>63.692289461301726</v>
      </c>
    </row>
    <row r="60" spans="2:19">
      <c r="B60" s="37" t="s">
        <v>79</v>
      </c>
      <c r="C60" s="16">
        <v>2013</v>
      </c>
      <c r="D60" s="17">
        <v>51.195581697900238</v>
      </c>
      <c r="E60" s="18">
        <v>45.387008204148522</v>
      </c>
      <c r="F60" s="18">
        <v>42.548988698147184</v>
      </c>
      <c r="G60" s="18">
        <v>42.457493011996654</v>
      </c>
      <c r="H60" s="18">
        <v>42.944150826536664</v>
      </c>
      <c r="I60" s="18">
        <v>38.817819854053319</v>
      </c>
      <c r="J60" s="18">
        <v>36.855564908639245</v>
      </c>
      <c r="K60" s="18">
        <v>38.20975790737392</v>
      </c>
      <c r="L60" s="18">
        <v>39.666899349375626</v>
      </c>
      <c r="M60" s="18">
        <v>40.530977390045265</v>
      </c>
      <c r="N60" s="18">
        <v>46.862401660502812</v>
      </c>
      <c r="O60" s="18">
        <v>45.470923494989947</v>
      </c>
      <c r="P60" s="18">
        <v>46.019232892323998</v>
      </c>
      <c r="Q60" s="18">
        <v>46.509509401314943</v>
      </c>
      <c r="R60" s="18">
        <v>40.914617095374524</v>
      </c>
      <c r="S60" s="19">
        <v>55.384501618865251</v>
      </c>
    </row>
    <row r="61" spans="2:19">
      <c r="B61" s="37" t="s">
        <v>79</v>
      </c>
      <c r="C61" s="16">
        <v>2020</v>
      </c>
      <c r="D61" s="17">
        <f>TREND(D57:D60,C57:C60,C61,TRUE)</f>
        <v>47.981519215817798</v>
      </c>
      <c r="E61" s="18">
        <f>TREND(E57:E60,C57:C60,C61,TRUE)</f>
        <v>41.332331465173638</v>
      </c>
      <c r="F61" s="18">
        <f>TREND(F57:F60,C57:C60,C61,TRUE)</f>
        <v>39.571437782199837</v>
      </c>
      <c r="G61" s="18">
        <f>TREND(G57:G60,C57:C60,C61,TRUE)</f>
        <v>38.543467768686014</v>
      </c>
      <c r="H61" s="18">
        <f>TREND(H57:H60,C57:C60,C61,TRUE)</f>
        <v>40.064970192507531</v>
      </c>
      <c r="I61" s="18">
        <f>TREND(I57:I60,C57:C60,C61,TRUE)</f>
        <v>34.322526979457052</v>
      </c>
      <c r="J61" s="18">
        <f>TREND(J57:J60,C57:C60,C61,TRUE)</f>
        <v>32.578743550824129</v>
      </c>
      <c r="K61" s="18">
        <f>TREND(K57:K60,C57:C60,C61,TRUE)</f>
        <v>33.375903539410729</v>
      </c>
      <c r="L61" s="18">
        <f>TREND(L57:L60,C57:C60,C61,TRUE)</f>
        <v>34.896393363796051</v>
      </c>
      <c r="M61" s="18">
        <f>TREND(M57:M60,C57:C60,C61,TRUE)</f>
        <v>35.286841872762807</v>
      </c>
      <c r="N61" s="18">
        <f>TREND(N57:N60,C57:C60,C61,TRUE)</f>
        <v>41.221699337946347</v>
      </c>
      <c r="O61" s="18">
        <f>TREND(O57:O60,C57:C60,C61,TRUE)</f>
        <v>40.605835580082612</v>
      </c>
      <c r="P61" s="18">
        <f>TREND(P57:P60,C57:C60,C61,TRUE)</f>
        <v>40.494806245670816</v>
      </c>
      <c r="Q61" s="18">
        <f>TREND(Q57:Q60,C57:C60,C61,TRUE)</f>
        <v>41.132629951024228</v>
      </c>
      <c r="R61" s="18">
        <f>TREND(R57:R60,C57:C60,C61,TRUE)</f>
        <v>33.358731765686116</v>
      </c>
      <c r="S61" s="19">
        <f>TREND(S57:S60,C57:C60,C61,TRUE)</f>
        <v>50.350581230900616</v>
      </c>
    </row>
    <row r="62" spans="2:19">
      <c r="B62" s="37" t="s">
        <v>79</v>
      </c>
      <c r="C62" s="16">
        <v>2027</v>
      </c>
      <c r="D62" s="17">
        <f>TREND(D57:D60,C57:C60,C62,TRUE)</f>
        <v>44.818342756821721</v>
      </c>
      <c r="E62" s="18">
        <f>TREND(E57:E60,C57:C60,C62,TRUE)</f>
        <v>37.001877687811884</v>
      </c>
      <c r="F62" s="18">
        <f>TREND(F57:F60,C57:C60,C62,TRUE)</f>
        <v>36.172426297124161</v>
      </c>
      <c r="G62" s="18">
        <f>TREND(G57:G60,C57:C60,C62,TRUE)</f>
        <v>34.273859036486101</v>
      </c>
      <c r="H62" s="18">
        <f>TREND(H57:H60,C57:C60,C62,TRUE)</f>
        <v>36.688806205987817</v>
      </c>
      <c r="I62" s="18">
        <f>TREND(I57:I60,C57:C60,C62,TRUE)</f>
        <v>30.075425113223901</v>
      </c>
      <c r="J62" s="18">
        <f>TREND(J57:J60,C57:C60,C62,TRUE)</f>
        <v>28.575458171407945</v>
      </c>
      <c r="K62" s="18">
        <f>TREND(K57:K60,C57:C60,C62,TRUE)</f>
        <v>28.663485517405434</v>
      </c>
      <c r="L62" s="18">
        <f>TREND(L57:L60,C57:C60,C62,TRUE)</f>
        <v>30.09375092213736</v>
      </c>
      <c r="M62" s="18">
        <f>TREND(M57:M60,C57:C60,C62,TRUE)</f>
        <v>30.304647650550123</v>
      </c>
      <c r="N62" s="18">
        <f>TREND(N57:N60,C57:C60,C62,TRUE)</f>
        <v>35.678448985918521</v>
      </c>
      <c r="O62" s="18">
        <f>TREND(O57:O60,C57:C60,C62,TRUE)</f>
        <v>35.732760465782349</v>
      </c>
      <c r="P62" s="18">
        <f>TREND(P57:P60,C57:C60,C62,TRUE)</f>
        <v>35.095794670119858</v>
      </c>
      <c r="Q62" s="18">
        <f>TREND(Q57:Q60,C57:C60,C62,TRUE)</f>
        <v>35.783327164885122</v>
      </c>
      <c r="R62" s="18">
        <f>TREND(R57:R60,C57:C60,C62,TRUE)</f>
        <v>26.646073466240978</v>
      </c>
      <c r="S62" s="19">
        <f>TREND(S57:S60,C57:C60,C62,TRUE)</f>
        <v>44.840331497955276</v>
      </c>
    </row>
    <row r="63" spans="2:19">
      <c r="B63" s="37" t="s">
        <v>79</v>
      </c>
      <c r="C63" s="16">
        <v>2034</v>
      </c>
      <c r="D63" s="17">
        <f>TREND(D57:D60,C57:C60,C63,TRUE)</f>
        <v>41.655166297825758</v>
      </c>
      <c r="E63" s="18">
        <f>TREND(E57:E60,C57:C60,C63,TRUE)</f>
        <v>32.67142391045013</v>
      </c>
      <c r="F63" s="18">
        <f>TREND(F57:F60,C57:C60,C63,TRUE)</f>
        <v>32.773414812048486</v>
      </c>
      <c r="G63" s="18">
        <f>TREND(G57:G60,C57:C60,C63,TRUE)</f>
        <v>30.004250304285961</v>
      </c>
      <c r="H63" s="18">
        <f>TREND(H57:H60,C57:C60,C63,TRUE)</f>
        <v>33.312642219468216</v>
      </c>
      <c r="I63" s="18">
        <f>TREND(I57:I60,C57:C60,C63,TRUE)</f>
        <v>25.828323246990976</v>
      </c>
      <c r="J63" s="18">
        <f>TREND(J57:J60,C57:C60,C63,TRUE)</f>
        <v>24.572172791991989</v>
      </c>
      <c r="K63" s="18">
        <f>TREND(K57:K60,C57:C60,C63,TRUE)</f>
        <v>23.951067495400139</v>
      </c>
      <c r="L63" s="18">
        <f>TREND(L57:L60,C57:C60,C63,TRUE)</f>
        <v>25.291108480478897</v>
      </c>
      <c r="M63" s="18">
        <f>TREND(M57:M60,C57:C60,C63,TRUE)</f>
        <v>25.322453428337667</v>
      </c>
      <c r="N63" s="18">
        <f>TREND(N57:N60,C57:C60,C63,TRUE)</f>
        <v>30.135198633890923</v>
      </c>
      <c r="O63" s="18">
        <f>TREND(O57:O60,C57:C60,C63,TRUE)</f>
        <v>30.859685351482312</v>
      </c>
      <c r="P63" s="18">
        <f>TREND(P57:P60,C57:C60,C63,TRUE)</f>
        <v>29.6967830945689</v>
      </c>
      <c r="Q63" s="18">
        <f>TREND(Q57:Q60,C57:C60,C63,TRUE)</f>
        <v>30.434024378746017</v>
      </c>
      <c r="R63" s="18">
        <f>TREND(R57:R60,C57:C60,C63,TRUE)</f>
        <v>19.933415166795612</v>
      </c>
      <c r="S63" s="19">
        <f>TREND(S57:S60,C57:C60,C63,TRUE)</f>
        <v>39.330081765009709</v>
      </c>
    </row>
    <row r="64" spans="2:19">
      <c r="B64" s="37" t="s">
        <v>79</v>
      </c>
      <c r="C64" s="20">
        <v>1978</v>
      </c>
      <c r="D64" s="17">
        <v>70.363877027805501</v>
      </c>
      <c r="E64" s="18">
        <v>70.672832064109329</v>
      </c>
      <c r="F64" s="18">
        <v>63.367357316162334</v>
      </c>
      <c r="G64" s="18">
        <v>67.707648603128391</v>
      </c>
      <c r="H64" s="18">
        <v>63.916205988077174</v>
      </c>
      <c r="I64" s="18">
        <v>63.697516953010663</v>
      </c>
      <c r="J64" s="18">
        <v>60.528922823326937</v>
      </c>
      <c r="K64" s="18">
        <v>65.371903655471584</v>
      </c>
      <c r="L64" s="18">
        <v>67.389709900363812</v>
      </c>
      <c r="M64" s="18">
        <v>68.877696922593728</v>
      </c>
      <c r="N64" s="18">
        <v>78.368882560577546</v>
      </c>
      <c r="O64" s="18">
        <v>73.521721308914294</v>
      </c>
      <c r="P64" s="18">
        <v>76.73295099614198</v>
      </c>
      <c r="Q64" s="18">
        <v>77.284850851232193</v>
      </c>
      <c r="R64" s="18">
        <v>78.167862521550731</v>
      </c>
      <c r="S64" s="19">
        <v>87.760058454587181</v>
      </c>
    </row>
    <row r="65" spans="2:19">
      <c r="B65" s="38" t="s">
        <v>79</v>
      </c>
      <c r="C65" s="21" t="s">
        <v>58</v>
      </c>
      <c r="D65" s="22">
        <v>67.768314678984652</v>
      </c>
      <c r="E65" s="23">
        <v>56.673441930427096</v>
      </c>
      <c r="F65" s="23">
        <v>59.014456261938392</v>
      </c>
      <c r="G65" s="23">
        <v>57.259502400003328</v>
      </c>
      <c r="H65" s="23">
        <v>52.49536142853605</v>
      </c>
      <c r="I65" s="23">
        <v>48.43379200989488</v>
      </c>
      <c r="J65" s="23">
        <v>53.640308946472707</v>
      </c>
      <c r="K65" s="23">
        <v>56.100744360935316</v>
      </c>
      <c r="L65" s="23">
        <v>57.763497776591734</v>
      </c>
      <c r="M65" s="23">
        <v>69.080280626456528</v>
      </c>
      <c r="N65" s="23">
        <v>64.886729656097884</v>
      </c>
      <c r="O65" s="23">
        <v>66.958865847694511</v>
      </c>
      <c r="P65" s="23">
        <v>67.613159827330293</v>
      </c>
      <c r="Q65" s="23">
        <v>63.009427815782878</v>
      </c>
      <c r="R65" s="23">
        <v>81.696693459895442</v>
      </c>
      <c r="S65" s="24">
        <v>66.958865847694511</v>
      </c>
    </row>
    <row r="66" spans="2:19">
      <c r="B66" s="36" t="s">
        <v>82</v>
      </c>
      <c r="C66" s="12">
        <v>1982</v>
      </c>
      <c r="D66" s="13">
        <v>87.215306118316875</v>
      </c>
      <c r="E66" s="14">
        <v>91.962909450205913</v>
      </c>
      <c r="F66" s="14">
        <v>85.33653334521172</v>
      </c>
      <c r="G66" s="14">
        <v>90.310665851377024</v>
      </c>
      <c r="H66" s="14">
        <v>85.952176377927245</v>
      </c>
      <c r="I66" s="14">
        <v>87.369862359129684</v>
      </c>
      <c r="J66" s="14">
        <v>84.757574702264037</v>
      </c>
      <c r="K66" s="14">
        <v>89.763956638468983</v>
      </c>
      <c r="L66" s="14">
        <v>91.909791979655566</v>
      </c>
      <c r="M66" s="14">
        <v>93.489221168914781</v>
      </c>
      <c r="N66" s="14">
        <v>100.07448561837154</v>
      </c>
      <c r="O66" s="14">
        <v>95.372099276362931</v>
      </c>
      <c r="P66" s="14">
        <v>99.402901027345933</v>
      </c>
      <c r="Q66" s="14">
        <v>99.605148878099342</v>
      </c>
      <c r="R66" s="14">
        <v>107.04459661384831</v>
      </c>
      <c r="S66" s="15">
        <v>102.94840512336656</v>
      </c>
    </row>
    <row r="67" spans="2:19">
      <c r="B67" s="37" t="s">
        <v>82</v>
      </c>
      <c r="C67" s="16">
        <v>1995</v>
      </c>
      <c r="D67" s="17">
        <v>51.476656529538722</v>
      </c>
      <c r="E67" s="18">
        <v>54.447986005094215</v>
      </c>
      <c r="F67" s="18">
        <v>48.179314184825081</v>
      </c>
      <c r="G67" s="18">
        <v>52.502143374894203</v>
      </c>
      <c r="H67" s="18">
        <v>48.837543278517252</v>
      </c>
      <c r="I67" s="18">
        <v>51.364905020105525</v>
      </c>
      <c r="J67" s="18">
        <v>49.110053574248724</v>
      </c>
      <c r="K67" s="18">
        <v>53.359372253965425</v>
      </c>
      <c r="L67" s="18">
        <v>54.956007564376165</v>
      </c>
      <c r="M67" s="18">
        <v>56.453516341563173</v>
      </c>
      <c r="N67" s="18">
        <v>60.019483532903813</v>
      </c>
      <c r="O67" s="18">
        <v>56.562670937488605</v>
      </c>
      <c r="P67" s="18">
        <v>59.334216653775918</v>
      </c>
      <c r="Q67" s="18">
        <v>59.913545821573052</v>
      </c>
      <c r="R67" s="18">
        <v>63.049371322591476</v>
      </c>
      <c r="S67" s="19">
        <v>65.059680417255521</v>
      </c>
    </row>
    <row r="68" spans="2:19">
      <c r="B68" s="37" t="s">
        <v>82</v>
      </c>
      <c r="C68" s="16">
        <v>2006</v>
      </c>
      <c r="D68" s="17">
        <v>49.575091416376786</v>
      </c>
      <c r="E68" s="18">
        <v>49.690304397299833</v>
      </c>
      <c r="F68" s="18">
        <v>44.919163221258003</v>
      </c>
      <c r="G68" s="18">
        <v>47.683187890519015</v>
      </c>
      <c r="H68" s="18">
        <v>45.926331965968402</v>
      </c>
      <c r="I68" s="18">
        <v>45.490921938715587</v>
      </c>
      <c r="J68" s="18">
        <v>43.142580391743977</v>
      </c>
      <c r="K68" s="18">
        <v>46.916873661149964</v>
      </c>
      <c r="L68" s="18">
        <v>48.791018315670975</v>
      </c>
      <c r="M68" s="18">
        <v>48.367527445160299</v>
      </c>
      <c r="N68" s="18">
        <v>54.553542258055366</v>
      </c>
      <c r="O68" s="18">
        <v>51.35346896297586</v>
      </c>
      <c r="P68" s="18">
        <v>53.528216580885775</v>
      </c>
      <c r="Q68" s="18">
        <v>54.954679749095959</v>
      </c>
      <c r="R68" s="18">
        <v>55.057044224064271</v>
      </c>
      <c r="S68" s="19">
        <v>61.656466772222387</v>
      </c>
    </row>
    <row r="69" spans="2:19">
      <c r="B69" s="37" t="s">
        <v>82</v>
      </c>
      <c r="C69" s="16">
        <v>2013</v>
      </c>
      <c r="D69" s="17">
        <v>41.634134449902206</v>
      </c>
      <c r="E69" s="18">
        <v>40.604959363750119</v>
      </c>
      <c r="F69" s="18">
        <v>37.977779847497644</v>
      </c>
      <c r="G69" s="18">
        <v>39.316444419247851</v>
      </c>
      <c r="H69" s="18">
        <v>38.261862261942845</v>
      </c>
      <c r="I69" s="18">
        <v>38.674863837179636</v>
      </c>
      <c r="J69" s="18">
        <v>37.22041855134907</v>
      </c>
      <c r="K69" s="18">
        <v>38.738710735501947</v>
      </c>
      <c r="L69" s="18">
        <v>39.822314099786595</v>
      </c>
      <c r="M69" s="18">
        <v>40.376300987661317</v>
      </c>
      <c r="N69" s="18">
        <v>44.091995448416057</v>
      </c>
      <c r="O69" s="18">
        <v>41.954568794113712</v>
      </c>
      <c r="P69" s="18">
        <v>43.504540245477777</v>
      </c>
      <c r="Q69" s="18">
        <v>44.312526169582945</v>
      </c>
      <c r="R69" s="18">
        <v>45.404542675148917</v>
      </c>
      <c r="S69" s="19">
        <v>47.783174527327731</v>
      </c>
    </row>
    <row r="70" spans="2:19">
      <c r="B70" s="37" t="s">
        <v>82</v>
      </c>
      <c r="C70" s="16">
        <v>2020</v>
      </c>
      <c r="D70" s="17">
        <f t="shared" ref="D70:S72" si="1">D69*0.9</f>
        <v>37.470721004911987</v>
      </c>
      <c r="E70" s="18">
        <f t="shared" si="1"/>
        <v>36.544463427375106</v>
      </c>
      <c r="F70" s="18">
        <f t="shared" si="1"/>
        <v>34.180001862747879</v>
      </c>
      <c r="G70" s="18">
        <f t="shared" si="1"/>
        <v>35.38479997732307</v>
      </c>
      <c r="H70" s="18">
        <f t="shared" si="1"/>
        <v>34.435676035748564</v>
      </c>
      <c r="I70" s="18">
        <f t="shared" si="1"/>
        <v>34.807377453461676</v>
      </c>
      <c r="J70" s="18">
        <f t="shared" si="1"/>
        <v>33.498376696214166</v>
      </c>
      <c r="K70" s="18">
        <f t="shared" si="1"/>
        <v>34.864839661951756</v>
      </c>
      <c r="L70" s="18">
        <f t="shared" si="1"/>
        <v>35.840082689807936</v>
      </c>
      <c r="M70" s="18">
        <f t="shared" si="1"/>
        <v>36.338670888895187</v>
      </c>
      <c r="N70" s="18">
        <f t="shared" si="1"/>
        <v>39.682795903574451</v>
      </c>
      <c r="O70" s="18">
        <f t="shared" si="1"/>
        <v>37.759111914702345</v>
      </c>
      <c r="P70" s="18">
        <f t="shared" si="1"/>
        <v>39.154086220929997</v>
      </c>
      <c r="Q70" s="18">
        <f t="shared" si="1"/>
        <v>39.881273552624648</v>
      </c>
      <c r="R70" s="18">
        <f t="shared" si="1"/>
        <v>40.864088407634028</v>
      </c>
      <c r="S70" s="19">
        <f t="shared" si="1"/>
        <v>43.004857074594959</v>
      </c>
    </row>
    <row r="71" spans="2:19">
      <c r="B71" s="37" t="s">
        <v>82</v>
      </c>
      <c r="C71" s="16">
        <v>2027</v>
      </c>
      <c r="D71" s="17">
        <f t="shared" si="1"/>
        <v>33.723648904420791</v>
      </c>
      <c r="E71" s="18">
        <f t="shared" si="1"/>
        <v>32.890017084637599</v>
      </c>
      <c r="F71" s="18">
        <f t="shared" si="1"/>
        <v>30.762001676473091</v>
      </c>
      <c r="G71" s="18">
        <f t="shared" si="1"/>
        <v>31.846319979590763</v>
      </c>
      <c r="H71" s="18">
        <f t="shared" si="1"/>
        <v>30.992108432173708</v>
      </c>
      <c r="I71" s="18">
        <f t="shared" si="1"/>
        <v>31.326639708115508</v>
      </c>
      <c r="J71" s="18">
        <f t="shared" si="1"/>
        <v>30.148539026592751</v>
      </c>
      <c r="K71" s="18">
        <f t="shared" si="1"/>
        <v>31.378355695756582</v>
      </c>
      <c r="L71" s="18">
        <f t="shared" si="1"/>
        <v>32.25607442082714</v>
      </c>
      <c r="M71" s="18">
        <f t="shared" si="1"/>
        <v>32.704803800005671</v>
      </c>
      <c r="N71" s="18">
        <f t="shared" si="1"/>
        <v>35.714516313217004</v>
      </c>
      <c r="O71" s="18">
        <f t="shared" si="1"/>
        <v>33.983200723232109</v>
      </c>
      <c r="P71" s="18">
        <f t="shared" si="1"/>
        <v>35.238677598837</v>
      </c>
      <c r="Q71" s="18">
        <f t="shared" si="1"/>
        <v>35.893146197362185</v>
      </c>
      <c r="R71" s="18">
        <f t="shared" si="1"/>
        <v>36.777679566870624</v>
      </c>
      <c r="S71" s="19">
        <f t="shared" si="1"/>
        <v>38.704371367135465</v>
      </c>
    </row>
    <row r="72" spans="2:19">
      <c r="B72" s="37" t="s">
        <v>82</v>
      </c>
      <c r="C72" s="16">
        <v>2034</v>
      </c>
      <c r="D72" s="17">
        <f t="shared" si="1"/>
        <v>30.351284013978713</v>
      </c>
      <c r="E72" s="18">
        <f t="shared" si="1"/>
        <v>29.601015376173841</v>
      </c>
      <c r="F72" s="18">
        <f t="shared" si="1"/>
        <v>27.685801508825783</v>
      </c>
      <c r="G72" s="18">
        <f t="shared" si="1"/>
        <v>28.661687981631687</v>
      </c>
      <c r="H72" s="18">
        <f t="shared" si="1"/>
        <v>27.892897588956338</v>
      </c>
      <c r="I72" s="18">
        <f t="shared" si="1"/>
        <v>28.193975737303958</v>
      </c>
      <c r="J72" s="18">
        <f t="shared" si="1"/>
        <v>27.133685123933475</v>
      </c>
      <c r="K72" s="18">
        <f t="shared" si="1"/>
        <v>28.240520126180925</v>
      </c>
      <c r="L72" s="18">
        <f t="shared" si="1"/>
        <v>29.030466978744428</v>
      </c>
      <c r="M72" s="18">
        <f t="shared" si="1"/>
        <v>29.434323420005104</v>
      </c>
      <c r="N72" s="18">
        <f t="shared" si="1"/>
        <v>32.143064681895304</v>
      </c>
      <c r="O72" s="18">
        <f t="shared" si="1"/>
        <v>30.5848806509089</v>
      </c>
      <c r="P72" s="18">
        <f t="shared" si="1"/>
        <v>31.7148098389533</v>
      </c>
      <c r="Q72" s="18">
        <f t="shared" si="1"/>
        <v>32.303831577625971</v>
      </c>
      <c r="R72" s="18">
        <f t="shared" si="1"/>
        <v>33.099911610183561</v>
      </c>
      <c r="S72" s="19">
        <f t="shared" si="1"/>
        <v>34.833934230421917</v>
      </c>
    </row>
    <row r="73" spans="2:19">
      <c r="B73" s="37" t="s">
        <v>82</v>
      </c>
      <c r="C73" s="20">
        <v>1978</v>
      </c>
      <c r="D73" s="17">
        <v>92.068334095980106</v>
      </c>
      <c r="E73" s="18">
        <v>97.234781552316889</v>
      </c>
      <c r="F73" s="18">
        <v>89.87793332172491</v>
      </c>
      <c r="G73" s="18">
        <v>95.350418105909355</v>
      </c>
      <c r="H73" s="18">
        <v>90.596751124735263</v>
      </c>
      <c r="I73" s="18">
        <v>91.925679194321035</v>
      </c>
      <c r="J73" s="18">
        <v>89.124152550952218</v>
      </c>
      <c r="K73" s="18">
        <v>94.57925020348496</v>
      </c>
      <c r="L73" s="18">
        <v>97.079050565505952</v>
      </c>
      <c r="M73" s="18">
        <v>98.83909948288499</v>
      </c>
      <c r="N73" s="18">
        <v>106.14718016416478</v>
      </c>
      <c r="O73" s="18">
        <v>100.99533138689678</v>
      </c>
      <c r="P73" s="18">
        <v>105.42177754740895</v>
      </c>
      <c r="Q73" s="18">
        <v>105.639445711023</v>
      </c>
      <c r="R73" s="18">
        <v>113.70364815122272</v>
      </c>
      <c r="S73" s="19">
        <v>109.55935443637703</v>
      </c>
    </row>
    <row r="74" spans="2:19">
      <c r="B74" s="38" t="s">
        <v>82</v>
      </c>
      <c r="C74" s="21" t="s">
        <v>58</v>
      </c>
      <c r="D74" s="22">
        <v>70.986640048269464</v>
      </c>
      <c r="E74" s="23">
        <v>73.970337764783523</v>
      </c>
      <c r="F74" s="23">
        <v>65.589194847477387</v>
      </c>
      <c r="G74" s="23">
        <v>70.788453797778459</v>
      </c>
      <c r="H74" s="23">
        <v>66.306054740490879</v>
      </c>
      <c r="I74" s="23">
        <v>66.415704179439317</v>
      </c>
      <c r="J74" s="23">
        <v>62.324042405860368</v>
      </c>
      <c r="K74" s="23">
        <v>68.702771039939734</v>
      </c>
      <c r="L74" s="23">
        <v>70.953445071209615</v>
      </c>
      <c r="M74" s="23">
        <v>72.676995063718124</v>
      </c>
      <c r="N74" s="23">
        <v>81.653998631285248</v>
      </c>
      <c r="O74" s="23">
        <v>76.712114745269233</v>
      </c>
      <c r="P74" s="23">
        <v>79.694617873470833</v>
      </c>
      <c r="Q74" s="23">
        <v>80.592524711780257</v>
      </c>
      <c r="R74" s="23">
        <v>82.280730278156852</v>
      </c>
      <c r="S74" s="24">
        <v>91.026559545165568</v>
      </c>
    </row>
    <row r="75" spans="2:19">
      <c r="B75" s="36" t="s">
        <v>75</v>
      </c>
      <c r="C75" s="12">
        <v>1982</v>
      </c>
      <c r="D75" s="13">
        <v>68.018529554516576</v>
      </c>
      <c r="E75" s="14">
        <v>72.574964622230965</v>
      </c>
      <c r="F75" s="14">
        <v>65.571297621753786</v>
      </c>
      <c r="G75" s="14">
        <v>70.735533205952891</v>
      </c>
      <c r="H75" s="14">
        <v>65.692085004945724</v>
      </c>
      <c r="I75" s="14">
        <v>68.143084695710229</v>
      </c>
      <c r="J75" s="14">
        <v>66.058803483916691</v>
      </c>
      <c r="K75" s="14">
        <v>70.585465112707126</v>
      </c>
      <c r="L75" s="14">
        <v>72.715294050186259</v>
      </c>
      <c r="M75" s="14">
        <v>74.171767823535077</v>
      </c>
      <c r="N75" s="14">
        <v>81.157119481631199</v>
      </c>
      <c r="O75" s="14">
        <v>76.109708560908118</v>
      </c>
      <c r="P75" s="14">
        <v>80.290463054550372</v>
      </c>
      <c r="Q75" s="14">
        <v>80.33231265141788</v>
      </c>
      <c r="R75" s="14">
        <v>86.959169446714228</v>
      </c>
      <c r="S75" s="15">
        <v>88.201347529495138</v>
      </c>
    </row>
    <row r="76" spans="2:19">
      <c r="B76" s="37" t="s">
        <v>75</v>
      </c>
      <c r="C76" s="16">
        <v>1995</v>
      </c>
      <c r="D76" s="17">
        <v>45.667689396499291</v>
      </c>
      <c r="E76" s="18">
        <v>50.192962947034715</v>
      </c>
      <c r="F76" s="18">
        <v>43.589804649181552</v>
      </c>
      <c r="G76" s="18">
        <v>47.787337728163571</v>
      </c>
      <c r="H76" s="18">
        <v>43.357079752038189</v>
      </c>
      <c r="I76" s="18">
        <v>46.076519196151558</v>
      </c>
      <c r="J76" s="18">
        <v>43.183252543001146</v>
      </c>
      <c r="K76" s="18">
        <v>48.51947548745548</v>
      </c>
      <c r="L76" s="18">
        <v>50.487547639673075</v>
      </c>
      <c r="M76" s="18">
        <v>52.060761292727236</v>
      </c>
      <c r="N76" s="18">
        <v>55.738365065809816</v>
      </c>
      <c r="O76" s="18">
        <v>52.13272141568418</v>
      </c>
      <c r="P76" s="18">
        <v>55.32999727627017</v>
      </c>
      <c r="Q76" s="18">
        <v>54.640060946014849</v>
      </c>
      <c r="R76" s="18">
        <v>58.975516331115436</v>
      </c>
      <c r="S76" s="19">
        <v>60.317776944958133</v>
      </c>
    </row>
    <row r="77" spans="2:19">
      <c r="B77" s="37" t="s">
        <v>75</v>
      </c>
      <c r="C77" s="16">
        <v>2006</v>
      </c>
      <c r="D77" s="17">
        <v>44.455126243853684</v>
      </c>
      <c r="E77" s="18">
        <v>45.084114920919674</v>
      </c>
      <c r="F77" s="18">
        <v>41.766455935990294</v>
      </c>
      <c r="G77" s="18">
        <v>43.947227632136737</v>
      </c>
      <c r="H77" s="18">
        <v>42.080756746351128</v>
      </c>
      <c r="I77" s="18">
        <v>41.325034353810459</v>
      </c>
      <c r="J77" s="18">
        <v>38.423135729806006</v>
      </c>
      <c r="K77" s="18">
        <v>42.817327017556792</v>
      </c>
      <c r="L77" s="18">
        <v>45.012530385970948</v>
      </c>
      <c r="M77" s="18">
        <v>43.446181351256705</v>
      </c>
      <c r="N77" s="18">
        <v>50.192484963168212</v>
      </c>
      <c r="O77" s="18">
        <v>47.439995003082117</v>
      </c>
      <c r="P77" s="18">
        <v>49.772786047949936</v>
      </c>
      <c r="Q77" s="18">
        <v>50.084656390218335</v>
      </c>
      <c r="R77" s="18">
        <v>50.636916164414977</v>
      </c>
      <c r="S77" s="19">
        <v>57.543297269512045</v>
      </c>
    </row>
    <row r="78" spans="2:19">
      <c r="B78" s="37" t="s">
        <v>75</v>
      </c>
      <c r="C78" s="16">
        <v>2013</v>
      </c>
      <c r="D78" s="17">
        <v>40.962898294289793</v>
      </c>
      <c r="E78" s="18">
        <v>40.200119598362491</v>
      </c>
      <c r="F78" s="18">
        <v>37.063949899754455</v>
      </c>
      <c r="G78" s="18">
        <v>38.438195293476767</v>
      </c>
      <c r="H78" s="18">
        <v>37.585863227804161</v>
      </c>
      <c r="I78" s="18">
        <v>37.154247482597825</v>
      </c>
      <c r="J78" s="18">
        <v>35.380666842787541</v>
      </c>
      <c r="K78" s="18">
        <v>37.723269868380363</v>
      </c>
      <c r="L78" s="18">
        <v>38.982178615239377</v>
      </c>
      <c r="M78" s="18">
        <v>39.706087024192051</v>
      </c>
      <c r="N78" s="18">
        <v>44.288684643283545</v>
      </c>
      <c r="O78" s="18">
        <v>42.157771538456821</v>
      </c>
      <c r="P78" s="18">
        <v>44.107686447498565</v>
      </c>
      <c r="Q78" s="18">
        <v>44.286584299438253</v>
      </c>
      <c r="R78" s="18">
        <v>45.438314072672391</v>
      </c>
      <c r="S78" s="19">
        <v>49.392364136055427</v>
      </c>
    </row>
    <row r="79" spans="2:19">
      <c r="B79" s="37" t="s">
        <v>75</v>
      </c>
      <c r="C79" s="16">
        <v>2020</v>
      </c>
      <c r="D79" s="17">
        <f>TREND(D75:D78,C75:C78,C79,TRUE)</f>
        <v>32.429323956106828</v>
      </c>
      <c r="E79" s="18">
        <f>TREND(E75:E78,C75:C78,C79,TRUE)</f>
        <v>30.778001972330458</v>
      </c>
      <c r="F79" s="18">
        <f>TREND(F75:F78,C75:C78,C79,TRUE)</f>
        <v>28.754192393253561</v>
      </c>
      <c r="G79" s="18">
        <f>TREND(G75:G78,C75:C78,C79,TRUE)</f>
        <v>29.307710109505933</v>
      </c>
      <c r="H79" s="18">
        <f>TREND(H75:H78,C75:C78,C79,TRUE)</f>
        <v>29.255393427786885</v>
      </c>
      <c r="I79" s="18">
        <f>TREND(I75:I78,C75:C78,C79,TRUE)</f>
        <v>27.812212270337795</v>
      </c>
      <c r="J79" s="18">
        <f>TREND(J75:J78,C75:C78,C79,TRUE)</f>
        <v>25.470066371133498</v>
      </c>
      <c r="K79" s="18">
        <f>TREND(K75:K78,C75:C78,C79,TRUE)</f>
        <v>28.293459692801207</v>
      </c>
      <c r="L79" s="18">
        <f>TREND(L75:L78,C75:C78,C79,TRUE)</f>
        <v>29.758094039983916</v>
      </c>
      <c r="M79" s="18">
        <f>TREND(M75:M78,C75:C78,C79,TRUE)</f>
        <v>29.087568795030165</v>
      </c>
      <c r="N79" s="18">
        <f>TREND(N75:N78,C75:C78,C79,TRUE)</f>
        <v>33.742444000728938</v>
      </c>
      <c r="O79" s="18">
        <f>TREND(O75:O78,C75:C78,C79,TRUE)</f>
        <v>32.310502843346967</v>
      </c>
      <c r="P79" s="18">
        <f>TREND(P75:P78,C75:C78,C79,TRUE)</f>
        <v>33.689495539170821</v>
      </c>
      <c r="Q79" s="18">
        <f>TREND(Q75:Q78,C75:C78,C79,TRUE)</f>
        <v>33.907357276091261</v>
      </c>
      <c r="R79" s="18">
        <f>TREND(R75:R78,C75:C78,C79,TRUE)</f>
        <v>32.87361382053632</v>
      </c>
      <c r="S79" s="19">
        <f>TREND(S75:S78,C75:C78,C79,TRUE)</f>
        <v>39.183051784937106</v>
      </c>
    </row>
    <row r="80" spans="2:19">
      <c r="B80" s="37" t="s">
        <v>75</v>
      </c>
      <c r="C80" s="16">
        <v>2027</v>
      </c>
      <c r="D80" s="17">
        <f>TREND(D75:D78,C75:C78,C80,TRUE)</f>
        <v>26.647078317379282</v>
      </c>
      <c r="E80" s="18">
        <f>TREND(E75:E78,C75:C78,C80,TRUE)</f>
        <v>23.69965578906158</v>
      </c>
      <c r="F80" s="18">
        <f>TREND(F75:F78,C75:C78,C80,TRUE)</f>
        <v>22.672964182114811</v>
      </c>
      <c r="G80" s="18">
        <f>TREND(G75:G78,C75:C78,C80,TRUE)</f>
        <v>22.334588991030387</v>
      </c>
      <c r="H80" s="18">
        <f>TREND(H75:H78,C75:C78,C80,TRUE)</f>
        <v>23.280875842787736</v>
      </c>
      <c r="I80" s="18">
        <f>TREND(I75:I78,C75:C78,C80,TRUE)</f>
        <v>21.024709216427937</v>
      </c>
      <c r="J80" s="18">
        <f>TREND(J75:J78,C75:C78,C80,TRUE)</f>
        <v>18.706266944885556</v>
      </c>
      <c r="K80" s="18">
        <f>TREND(K75:K78,C75:C78,C80,TRUE)</f>
        <v>21.087484799893446</v>
      </c>
      <c r="L80" s="18">
        <f>TREND(L75:L78,C75:C78,C80,TRUE)</f>
        <v>22.410996162389438</v>
      </c>
      <c r="M80" s="18">
        <f>TREND(M75:M78,C75:C78,C80,TRUE)</f>
        <v>21.334691935730916</v>
      </c>
      <c r="N80" s="18">
        <f>TREND(N75:N78,C75:C78,C80,TRUE)</f>
        <v>25.708537488147613</v>
      </c>
      <c r="O80" s="18">
        <f>TREND(O75:O78,C75:C78,C80,TRUE)</f>
        <v>24.927320747951399</v>
      </c>
      <c r="P80" s="18">
        <f>TREND(P75:P78,C75:C78,C80,TRUE)</f>
        <v>25.794249650038637</v>
      </c>
      <c r="Q80" s="18">
        <f>TREND(Q75:Q78,C75:C78,C80,TRUE)</f>
        <v>26.097841844197774</v>
      </c>
      <c r="R80" s="18">
        <f>TREND(R75:R78,C75:C78,C80,TRUE)</f>
        <v>23.663992092805529</v>
      </c>
      <c r="S80" s="19">
        <f>TREND(S75:S78,C75:C78,C80,TRUE)</f>
        <v>30.956170223247682</v>
      </c>
    </row>
    <row r="81" spans="2:19">
      <c r="B81" s="37" t="s">
        <v>75</v>
      </c>
      <c r="C81" s="16">
        <v>2034</v>
      </c>
      <c r="D81" s="17">
        <f>TREND(D75:D78,C75:C78,C81,TRUE)</f>
        <v>20.86483267865151</v>
      </c>
      <c r="E81" s="18">
        <f>TREND(E75:E78,C75:C78,C81,TRUE)</f>
        <v>16.621309605792703</v>
      </c>
      <c r="F81" s="18">
        <f>TREND(F75:F78,C75:C78,C81,TRUE)</f>
        <v>16.59173597097606</v>
      </c>
      <c r="G81" s="18">
        <f>TREND(G75:G78,C75:C78,C81,TRUE)</f>
        <v>15.36146787255484</v>
      </c>
      <c r="H81" s="18">
        <f>TREND(H75:H78,C75:C78,C81,TRUE)</f>
        <v>17.306358257788361</v>
      </c>
      <c r="I81" s="18">
        <f>TREND(I75:I78,C75:C78,C81,TRUE)</f>
        <v>14.237206162518078</v>
      </c>
      <c r="J81" s="18">
        <f>TREND(J75:J78,C75:C78,C81,TRUE)</f>
        <v>11.942467518637386</v>
      </c>
      <c r="K81" s="18">
        <f>TREND(K75:K78,C75:C78,C81,TRUE)</f>
        <v>13.881509906985684</v>
      </c>
      <c r="L81" s="18">
        <f>TREND(L75:L78,C75:C78,C81,TRUE)</f>
        <v>15.063898284794959</v>
      </c>
      <c r="M81" s="18">
        <f>TREND(M75:M78,C75:C78,C81,TRUE)</f>
        <v>13.581815076431212</v>
      </c>
      <c r="N81" s="18">
        <f>TREND(N75:N78,C75:C78,C81,TRUE)</f>
        <v>17.674630975566288</v>
      </c>
      <c r="O81" s="18">
        <f>TREND(O75:O78,C75:C78,C81,TRUE)</f>
        <v>17.544138652556285</v>
      </c>
      <c r="P81" s="18">
        <f>TREND(P75:P78,C75:C78,C81,TRUE)</f>
        <v>17.899003760906908</v>
      </c>
      <c r="Q81" s="18">
        <f>TREND(Q75:Q78,C75:C78,C81,TRUE)</f>
        <v>18.288326412304286</v>
      </c>
      <c r="R81" s="18">
        <f>TREND(R75:R78,C75:C78,C81,TRUE)</f>
        <v>14.454370365074283</v>
      </c>
      <c r="S81" s="19">
        <f>TREND(S75:S78,C75:C78,C81,TRUE)</f>
        <v>22.729288661557803</v>
      </c>
    </row>
    <row r="82" spans="2:19">
      <c r="B82" s="37" t="s">
        <v>75</v>
      </c>
      <c r="C82" s="20">
        <v>1978</v>
      </c>
      <c r="D82" s="17">
        <v>72.946507174877794</v>
      </c>
      <c r="E82" s="18">
        <v>77.920005898001435</v>
      </c>
      <c r="F82" s="18">
        <v>70.149638849807801</v>
      </c>
      <c r="G82" s="18">
        <v>75.956458823553504</v>
      </c>
      <c r="H82" s="18">
        <v>70.421276221019411</v>
      </c>
      <c r="I82" s="18">
        <v>73.095692206241637</v>
      </c>
      <c r="J82" s="18">
        <v>70.785784997368424</v>
      </c>
      <c r="K82" s="18">
        <v>75.779976285119233</v>
      </c>
      <c r="L82" s="18">
        <v>78.102510951237051</v>
      </c>
      <c r="M82" s="18">
        <v>79.939015484301692</v>
      </c>
      <c r="N82" s="18">
        <v>87.255443671014405</v>
      </c>
      <c r="O82" s="18">
        <v>81.785687516511331</v>
      </c>
      <c r="P82" s="18">
        <v>86.321698706330722</v>
      </c>
      <c r="Q82" s="18">
        <v>86.541009746037801</v>
      </c>
      <c r="R82" s="18">
        <v>93.817359374648021</v>
      </c>
      <c r="S82" s="19">
        <v>95.226791261947042</v>
      </c>
    </row>
    <row r="83" spans="2:19">
      <c r="B83" s="38" t="s">
        <v>75</v>
      </c>
      <c r="C83" s="21" t="s">
        <v>58</v>
      </c>
      <c r="D83" s="22">
        <v>57.569338584192948</v>
      </c>
      <c r="E83" s="23">
        <v>61.246921058937012</v>
      </c>
      <c r="F83" s="23">
        <v>53.052609763240305</v>
      </c>
      <c r="G83" s="23">
        <v>57.693470216116701</v>
      </c>
      <c r="H83" s="23">
        <v>52.914613322520339</v>
      </c>
      <c r="I83" s="23">
        <v>53.278315219506005</v>
      </c>
      <c r="J83" s="23">
        <v>49.067047579259516</v>
      </c>
      <c r="K83" s="23">
        <v>55.647580078680988</v>
      </c>
      <c r="L83" s="23">
        <v>57.798920338070168</v>
      </c>
      <c r="M83" s="23">
        <v>59.683509556605458</v>
      </c>
      <c r="N83" s="23">
        <v>68.395886553580681</v>
      </c>
      <c r="O83" s="23">
        <v>63.813080456521689</v>
      </c>
      <c r="P83" s="23">
        <v>67.116009182860566</v>
      </c>
      <c r="Q83" s="23">
        <v>66.637023065691039</v>
      </c>
      <c r="R83" s="23">
        <v>68.601700180831088</v>
      </c>
      <c r="S83" s="24">
        <v>78.556528452737155</v>
      </c>
    </row>
    <row r="84" spans="2:19">
      <c r="B84" s="36" t="s">
        <v>60</v>
      </c>
      <c r="C84" s="12">
        <v>1982</v>
      </c>
      <c r="D84" s="13">
        <v>34.241781383020829</v>
      </c>
      <c r="E84" s="14">
        <v>28.899161423643211</v>
      </c>
      <c r="F84" s="14">
        <v>27.109094080858988</v>
      </c>
      <c r="G84" s="14">
        <v>26.576995980028482</v>
      </c>
      <c r="H84" s="14">
        <v>25.641990450742473</v>
      </c>
      <c r="I84" s="14">
        <v>22.659083783092136</v>
      </c>
      <c r="J84" s="14">
        <v>22.373822577162162</v>
      </c>
      <c r="K84" s="14">
        <v>23.137419279725002</v>
      </c>
      <c r="L84" s="14">
        <v>23.680914280312894</v>
      </c>
      <c r="M84" s="14">
        <v>23.694278130386635</v>
      </c>
      <c r="N84" s="14">
        <v>30.894356247401547</v>
      </c>
      <c r="O84" s="14">
        <v>29.70796397779678</v>
      </c>
      <c r="P84" s="14">
        <v>29.899417522956718</v>
      </c>
      <c r="Q84" s="14">
        <v>28.94662798087689</v>
      </c>
      <c r="R84" s="14">
        <v>22.746365810491884</v>
      </c>
      <c r="S84" s="15">
        <v>42.107204363793976</v>
      </c>
    </row>
    <row r="85" spans="2:19">
      <c r="B85" s="37" t="s">
        <v>60</v>
      </c>
      <c r="C85" s="16">
        <v>1995</v>
      </c>
      <c r="D85" s="17">
        <v>27.401065165651875</v>
      </c>
      <c r="E85" s="18">
        <v>23.666490298197196</v>
      </c>
      <c r="F85" s="18">
        <v>21.974426571927211</v>
      </c>
      <c r="G85" s="18">
        <v>21.629080394050963</v>
      </c>
      <c r="H85" s="18">
        <v>20.425162900681112</v>
      </c>
      <c r="I85" s="18">
        <v>18.766934447029133</v>
      </c>
      <c r="J85" s="18">
        <v>18.9920626503839</v>
      </c>
      <c r="K85" s="18">
        <v>19.452999724112065</v>
      </c>
      <c r="L85" s="18">
        <v>19.86638013514666</v>
      </c>
      <c r="M85" s="18">
        <v>19.617132486918379</v>
      </c>
      <c r="N85" s="18">
        <v>24.307350300056942</v>
      </c>
      <c r="O85" s="18">
        <v>23.700641612353628</v>
      </c>
      <c r="P85" s="18">
        <v>23.991271105618967</v>
      </c>
      <c r="Q85" s="18">
        <v>22.192963051766256</v>
      </c>
      <c r="R85" s="18">
        <v>17.872124022000332</v>
      </c>
      <c r="S85" s="19">
        <v>32.704774167667622</v>
      </c>
    </row>
    <row r="86" spans="2:19">
      <c r="B86" s="37" t="s">
        <v>60</v>
      </c>
      <c r="C86" s="16">
        <v>2006</v>
      </c>
      <c r="D86" s="17">
        <v>28.716275582073585</v>
      </c>
      <c r="E86" s="18">
        <v>22.707816811949712</v>
      </c>
      <c r="F86" s="18">
        <v>21.426344454153035</v>
      </c>
      <c r="G86" s="18">
        <v>20.542308836175597</v>
      </c>
      <c r="H86" s="18">
        <v>19.812467483264207</v>
      </c>
      <c r="I86" s="18">
        <v>16.488788498470317</v>
      </c>
      <c r="J86" s="18">
        <v>16.18948717121113</v>
      </c>
      <c r="K86" s="18">
        <v>16.776731542597787</v>
      </c>
      <c r="L86" s="18">
        <v>17.486163912782523</v>
      </c>
      <c r="M86" s="18">
        <v>16.80862964388939</v>
      </c>
      <c r="N86" s="18">
        <v>23.542356674682015</v>
      </c>
      <c r="O86" s="18">
        <v>22.927282012029941</v>
      </c>
      <c r="P86" s="18">
        <v>22.716153200031044</v>
      </c>
      <c r="Q86" s="18">
        <v>21.868579937952109</v>
      </c>
      <c r="R86" s="18">
        <v>15.226476134925335</v>
      </c>
      <c r="S86" s="19">
        <v>33.385792578384063</v>
      </c>
    </row>
    <row r="87" spans="2:19">
      <c r="B87" s="37" t="s">
        <v>60</v>
      </c>
      <c r="C87" s="16">
        <v>2013</v>
      </c>
      <c r="D87" s="17">
        <v>26.305864808765087</v>
      </c>
      <c r="E87" s="18">
        <v>19.882705553800836</v>
      </c>
      <c r="F87" s="18">
        <v>19.420155995797895</v>
      </c>
      <c r="G87" s="18">
        <v>17.973763172880293</v>
      </c>
      <c r="H87" s="18">
        <v>17.937900431353473</v>
      </c>
      <c r="I87" s="18">
        <v>14.909624607974006</v>
      </c>
      <c r="J87" s="18">
        <v>14.873280215300175</v>
      </c>
      <c r="K87" s="18">
        <v>14.865406266114274</v>
      </c>
      <c r="L87" s="18">
        <v>15.453734976979879</v>
      </c>
      <c r="M87" s="18">
        <v>15.128650423860694</v>
      </c>
      <c r="N87" s="18">
        <v>20.359453157840942</v>
      </c>
      <c r="O87" s="18">
        <v>19.957397600620322</v>
      </c>
      <c r="P87" s="18">
        <v>19.994656112224138</v>
      </c>
      <c r="Q87" s="18">
        <v>18.946229710901722</v>
      </c>
      <c r="R87" s="18">
        <v>13.998944863143446</v>
      </c>
      <c r="S87" s="19">
        <v>27.044834094522741</v>
      </c>
    </row>
    <row r="88" spans="2:19">
      <c r="B88" s="37" t="s">
        <v>60</v>
      </c>
      <c r="C88" s="16">
        <v>2020</v>
      </c>
      <c r="D88" s="17">
        <f>TREND(D84:D87,C84:C87,C88,TRUE)</f>
        <v>24.492085528857046</v>
      </c>
      <c r="E88" s="18">
        <f>TREND(E84:E87,C84:C87,C88,TRUE)</f>
        <v>18.113732050779277</v>
      </c>
      <c r="F88" s="18">
        <f>TREND(F84:F87,C84:C87,C88,TRUE)</f>
        <v>17.637778145896164</v>
      </c>
      <c r="G88" s="18">
        <f>TREND(G84:G87,C84:C87,C88,TRUE)</f>
        <v>16.2244924662823</v>
      </c>
      <c r="H88" s="18">
        <f>TREND(H84:H87,C84:C87,C88,TRUE)</f>
        <v>16.074873357029389</v>
      </c>
      <c r="I88" s="18">
        <f>TREND(I84:I87,C84:C87,C88,TRUE)</f>
        <v>13.008955361241703</v>
      </c>
      <c r="J88" s="18">
        <f>TREND(J84:J87,C84:C87,C88,TRUE)</f>
        <v>12.961365107672805</v>
      </c>
      <c r="K88" s="18">
        <f>TREND(K84:K87,C84:C87,C88,TRUE)</f>
        <v>12.99904523825046</v>
      </c>
      <c r="L88" s="18">
        <f>TREND(L84:L87,C84:C87,C88,TRUE)</f>
        <v>13.650892597191046</v>
      </c>
      <c r="M88" s="18">
        <f>TREND(M84:M87,C84:C87,C88,TRUE)</f>
        <v>13.015800600022999</v>
      </c>
      <c r="N88" s="18">
        <f>TREND(N84:N87,C84:C87,C88,TRUE)</f>
        <v>18.18552101146156</v>
      </c>
      <c r="O88" s="18">
        <f>TREND(O84:O87,C84:C87,C88,TRUE)</f>
        <v>17.96639096404499</v>
      </c>
      <c r="P88" s="18">
        <f>TREND(P84:P87,C84:C87,C88,TRUE)</f>
        <v>17.83827373762756</v>
      </c>
      <c r="Q88" s="18">
        <f>TREND(Q84:Q87,C84:C87,C88,TRUE)</f>
        <v>16.78263235285192</v>
      </c>
      <c r="R88" s="18">
        <f>TREND(R84:R87,C84:C87,C88,TRUE)</f>
        <v>11.51965183383038</v>
      </c>
      <c r="S88" s="19">
        <f>TREND(S84:S87,C84:C87,C88,TRUE)</f>
        <v>24.864141746280438</v>
      </c>
    </row>
    <row r="89" spans="2:19">
      <c r="B89" s="37" t="s">
        <v>60</v>
      </c>
      <c r="C89" s="16">
        <v>2027</v>
      </c>
      <c r="D89" s="17">
        <f>TREND(D84:D87,C84:C87,C89,TRUE)</f>
        <v>22.934031793516795</v>
      </c>
      <c r="E89" s="18">
        <f>TREND(E84:E87,C84:C87,C89,TRUE)</f>
        <v>16.221961560406498</v>
      </c>
      <c r="F89" s="18">
        <f>TREND(F84:F87,C84:C87,C89,TRUE)</f>
        <v>16.022869102633422</v>
      </c>
      <c r="G89" s="18">
        <f>TREND(G84:G87,C84:C87,C89,TRUE)</f>
        <v>14.405810923115155</v>
      </c>
      <c r="H89" s="18">
        <f>TREND(H84:H87,C84:C87,C89,TRUE)</f>
        <v>14.448371037202378</v>
      </c>
      <c r="I89" s="18">
        <f>TREND(I84:I87,C84:C87,C89,TRUE)</f>
        <v>11.276571203608512</v>
      </c>
      <c r="J89" s="18">
        <f>TREND(J84:J87,C84:C87,C89,TRUE)</f>
        <v>11.246099092392285</v>
      </c>
      <c r="K89" s="18">
        <f>TREND(K84:K87,C84:C87,C89,TRUE)</f>
        <v>11.146013916621541</v>
      </c>
      <c r="L89" s="18">
        <f>TREND(L84:L87,C84:C87,C89,TRUE)</f>
        <v>11.827257354152948</v>
      </c>
      <c r="M89" s="18">
        <f>TREND(M84:M87,C84:C87,C89,TRUE)</f>
        <v>11.083676576276162</v>
      </c>
      <c r="N89" s="18">
        <f>TREND(N84:N87,C84:C87,C89,TRUE)</f>
        <v>15.988734983616951</v>
      </c>
      <c r="O89" s="18">
        <f>TREND(O84:O87,C84:C87,C89,TRUE)</f>
        <v>15.930747518493149</v>
      </c>
      <c r="P89" s="18">
        <f>TREND(P84:P87,C84:C87,C89,TRUE)</f>
        <v>15.734240155100906</v>
      </c>
      <c r="Q89" s="18">
        <f>TREND(Q84:Q87,C84:C87,C89,TRUE)</f>
        <v>14.713976413677756</v>
      </c>
      <c r="R89" s="18">
        <f>TREND(R84:R87,C84:C87,C89,TRUE)</f>
        <v>9.5392098758937891</v>
      </c>
      <c r="S89" s="19">
        <f>TREND(S84:S87,C84:C87,C89,TRUE)</f>
        <v>21.881971894676667</v>
      </c>
    </row>
    <row r="90" spans="2:19">
      <c r="B90" s="37" t="s">
        <v>60</v>
      </c>
      <c r="C90" s="16">
        <v>2034</v>
      </c>
      <c r="D90" s="17">
        <f>TREND(D84:D87,C84:C87,C90,TRUE)</f>
        <v>21.375978058176543</v>
      </c>
      <c r="E90" s="18">
        <f>TREND(E84:E87,C84:C87,C90,TRUE)</f>
        <v>14.33019107003372</v>
      </c>
      <c r="F90" s="18">
        <f>TREND(F84:F87,C84:C87,C90,TRUE)</f>
        <v>14.407960059370737</v>
      </c>
      <c r="G90" s="18">
        <f>TREND(G84:G87,C84:C87,C90,TRUE)</f>
        <v>12.587129379947896</v>
      </c>
      <c r="H90" s="18">
        <f>TREND(H84:H87,C84:C87,C90,TRUE)</f>
        <v>12.821868717375423</v>
      </c>
      <c r="I90" s="18">
        <f>TREND(I84:I87,C84:C87,C90,TRUE)</f>
        <v>9.5441870459752636</v>
      </c>
      <c r="J90" s="18">
        <f>TREND(J84:J87,C84:C87,C90,TRUE)</f>
        <v>9.5308330771117653</v>
      </c>
      <c r="K90" s="18">
        <f>TREND(K84:K87,C84:C87,C90,TRUE)</f>
        <v>9.2929825949926226</v>
      </c>
      <c r="L90" s="18">
        <f>TREND(L84:L87,C84:C87,C90,TRUE)</f>
        <v>10.003622111114737</v>
      </c>
      <c r="M90" s="18">
        <f>TREND(M84:M87,C84:C87,C90,TRUE)</f>
        <v>9.1515525525292105</v>
      </c>
      <c r="N90" s="18">
        <f>TREND(N84:N87,C84:C87,C90,TRUE)</f>
        <v>13.791948955772227</v>
      </c>
      <c r="O90" s="18">
        <f>TREND(O84:O87,C84:C87,C90,TRUE)</f>
        <v>13.895104072941422</v>
      </c>
      <c r="P90" s="18">
        <f>TREND(P84:P87,C84:C87,C90,TRUE)</f>
        <v>13.630206572574139</v>
      </c>
      <c r="Q90" s="18">
        <f>TREND(Q84:Q87,C84:C87,C90,TRUE)</f>
        <v>12.645320474503592</v>
      </c>
      <c r="R90" s="18">
        <f>TREND(R84:R87,C84:C87,C90,TRUE)</f>
        <v>7.5587679179571978</v>
      </c>
      <c r="S90" s="19">
        <f>TREND(S84:S87,C84:C87,C90,TRUE)</f>
        <v>18.899802043072782</v>
      </c>
    </row>
    <row r="91" spans="2:19">
      <c r="B91" s="37" t="s">
        <v>60</v>
      </c>
      <c r="C91" s="20">
        <v>1978</v>
      </c>
      <c r="D91" s="17">
        <v>38.543262340221304</v>
      </c>
      <c r="E91" s="18">
        <v>32.438962868865623</v>
      </c>
      <c r="F91" s="18">
        <v>30.284570909730853</v>
      </c>
      <c r="G91" s="18">
        <v>29.741341230337216</v>
      </c>
      <c r="H91" s="18">
        <v>28.689954221046943</v>
      </c>
      <c r="I91" s="18">
        <v>25.220142239825769</v>
      </c>
      <c r="J91" s="18">
        <v>24.86561760088161</v>
      </c>
      <c r="K91" s="18">
        <v>25.749787320375052</v>
      </c>
      <c r="L91" s="18">
        <v>26.398506670109501</v>
      </c>
      <c r="M91" s="18">
        <v>26.409575424609972</v>
      </c>
      <c r="N91" s="18">
        <v>34.693427411886852</v>
      </c>
      <c r="O91" s="18">
        <v>33.39344539455432</v>
      </c>
      <c r="P91" s="18">
        <v>33.537433343093156</v>
      </c>
      <c r="Q91" s="18">
        <v>32.527516170952154</v>
      </c>
      <c r="R91" s="18">
        <v>25.201381476161824</v>
      </c>
      <c r="S91" s="19">
        <v>47.86998627476747</v>
      </c>
    </row>
    <row r="92" spans="2:19">
      <c r="B92" s="38" t="s">
        <v>60</v>
      </c>
      <c r="C92" s="21" t="s">
        <v>58</v>
      </c>
      <c r="D92" s="22">
        <v>33.134214868284644</v>
      </c>
      <c r="E92" s="23">
        <v>28.068459208163205</v>
      </c>
      <c r="F92" s="23">
        <v>25.853909462648691</v>
      </c>
      <c r="G92" s="23">
        <v>25.619078111635474</v>
      </c>
      <c r="H92" s="23">
        <v>24.214025443169003</v>
      </c>
      <c r="I92" s="23">
        <v>21.438734050949353</v>
      </c>
      <c r="J92" s="23">
        <v>21.124646206387229</v>
      </c>
      <c r="K92" s="23">
        <v>22.040198178217455</v>
      </c>
      <c r="L92" s="23">
        <v>22.619702317689178</v>
      </c>
      <c r="M92" s="23">
        <v>22.633572218469425</v>
      </c>
      <c r="N92" s="23">
        <v>29.898593701609137</v>
      </c>
      <c r="O92" s="23">
        <v>28.759744261876818</v>
      </c>
      <c r="P92" s="23">
        <v>28.805643867871964</v>
      </c>
      <c r="Q92" s="23">
        <v>27.864596085465315</v>
      </c>
      <c r="R92" s="23">
        <v>20.886316304362026</v>
      </c>
      <c r="S92" s="24">
        <v>41.727701300208331</v>
      </c>
    </row>
  </sheetData>
  <autoFilter ref="B2:S92" xr:uid="{00000000-0009-0000-0000-000003000000}">
    <sortState xmlns:xlrd2="http://schemas.microsoft.com/office/spreadsheetml/2017/richdata2" ref="B3:S92">
      <sortCondition ref="B2:B92"/>
    </sortState>
  </autoFilter>
  <sortState xmlns:xlrd2="http://schemas.microsoft.com/office/spreadsheetml/2017/richdata2" ref="V3:V92">
    <sortCondition ref="V3"/>
  </sortState>
  <mergeCells count="1">
    <mergeCell ref="B1:S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72"/>
  <sheetViews>
    <sheetView topLeftCell="E1" workbookViewId="0">
      <selection activeCell="E1" sqref="E1"/>
    </sheetView>
  </sheetViews>
  <sheetFormatPr defaultRowHeight="14.5"/>
  <cols>
    <col min="1" max="1" width="18" bestFit="1" customWidth="1"/>
    <col min="2" max="2" width="10.453125" customWidth="1"/>
    <col min="4" max="4" width="12" bestFit="1" customWidth="1"/>
    <col min="6" max="7" width="8.81640625" customWidth="1"/>
    <col min="12" max="12" width="9" customWidth="1"/>
  </cols>
  <sheetData>
    <row r="1" spans="1:36">
      <c r="A1" t="s">
        <v>92</v>
      </c>
    </row>
    <row r="2" spans="1:36">
      <c r="A2" t="s">
        <v>8</v>
      </c>
      <c r="C2">
        <v>1990</v>
      </c>
      <c r="D2">
        <v>2013</v>
      </c>
      <c r="E2">
        <v>2014</v>
      </c>
      <c r="F2">
        <v>2015</v>
      </c>
      <c r="G2">
        <v>2016</v>
      </c>
      <c r="H2">
        <v>2017</v>
      </c>
      <c r="I2">
        <v>2018</v>
      </c>
      <c r="J2">
        <v>2019</v>
      </c>
      <c r="K2">
        <v>2020</v>
      </c>
      <c r="L2">
        <v>2021</v>
      </c>
      <c r="M2">
        <v>2022</v>
      </c>
      <c r="N2">
        <v>2023</v>
      </c>
      <c r="O2">
        <v>2024</v>
      </c>
      <c r="P2">
        <v>2025</v>
      </c>
      <c r="Q2">
        <v>2026</v>
      </c>
      <c r="R2">
        <v>2027</v>
      </c>
      <c r="S2">
        <v>2028</v>
      </c>
      <c r="T2">
        <v>2029</v>
      </c>
      <c r="U2">
        <v>2030</v>
      </c>
      <c r="V2">
        <v>2031</v>
      </c>
      <c r="W2">
        <v>2032</v>
      </c>
      <c r="X2">
        <v>2033</v>
      </c>
      <c r="Y2">
        <v>2034</v>
      </c>
      <c r="Z2">
        <v>2035</v>
      </c>
      <c r="AA2">
        <v>2036</v>
      </c>
      <c r="AB2">
        <v>2037</v>
      </c>
      <c r="AC2">
        <v>2038</v>
      </c>
      <c r="AD2">
        <v>2039</v>
      </c>
      <c r="AE2">
        <v>2040</v>
      </c>
      <c r="AF2">
        <v>2041</v>
      </c>
      <c r="AG2">
        <v>2042</v>
      </c>
      <c r="AH2">
        <v>2043</v>
      </c>
      <c r="AI2">
        <v>2044</v>
      </c>
      <c r="AJ2">
        <v>2045</v>
      </c>
    </row>
    <row r="3" spans="1:36">
      <c r="A3" t="s">
        <v>9</v>
      </c>
      <c r="B3" s="49" t="s">
        <v>67</v>
      </c>
      <c r="C3" s="28">
        <v>565.90458032780009</v>
      </c>
      <c r="D3" s="28">
        <v>528.71613442157673</v>
      </c>
      <c r="E3" s="28">
        <v>528.71613442157673</v>
      </c>
      <c r="F3" s="28">
        <f>INDEX('[2]Emissions Factors'!$B$3:$H$33,MATCH('[2]1-4.5'!F$2,'[2]Emissions Factors'!$A$3:$A$33,0),MATCH($B3,'[2]Emissions Factors'!$B$2:$H$2,0))</f>
        <v>333.29430943040865</v>
      </c>
      <c r="G3" s="28">
        <f>INDEX('[2]Emissions Factors'!$B$3:$H$33,MATCH('[2]1-4.5'!G$2,'[2]Emissions Factors'!$A$3:$A$33,0),MATCH($B3,'[2]Emissions Factors'!$B$2:$H$2,0))</f>
        <v>294.64697289492551</v>
      </c>
      <c r="H3" s="28">
        <f>INDEX('[2]Emissions Factors'!$B$3:$H$33,MATCH('[2]1-4.5'!H$2,'[2]Emissions Factors'!$A$3:$A$33,0),MATCH($B3,'[2]Emissions Factors'!$B$2:$H$2,0))</f>
        <v>404.02383185580527</v>
      </c>
      <c r="I3" s="28">
        <f>INDEX('[2]Emissions Factors'!$B$3:$H$33,MATCH('[2]1-4.5'!I$2,'[2]Emissions Factors'!$A$3:$A$33,0),MATCH($B3,'[2]Emissions Factors'!$B$2:$H$2,0))</f>
        <v>518.9757072038999</v>
      </c>
      <c r="J3" s="28">
        <f>INDEX('[2]Emissions Factors'!$B$3:$H$33,MATCH('[2]1-4.5'!J$2,'[2]Emissions Factors'!$A$3:$A$33,0),MATCH($B3,'[2]Emissions Factors'!$B$2:$H$2,0))</f>
        <v>518.9757072038999</v>
      </c>
      <c r="K3" s="28">
        <f t="shared" ref="K3:K12" si="0">$F3/(1-INDEX($E$57:$K$63,MATCH($B$3:$B$26,$A$57:$A$63,0),1))*(1-INDEX($E$57:$K$63,MATCH($B$3:$B$26,$A$57:$A$63,0),MATCH(K$2,$E$56:$K$56,0)))</f>
        <v>286.4247971667574</v>
      </c>
      <c r="L3" s="28">
        <f>$F3/(1-INDEX($E$57:$U$63,MATCH($B$3:$B$26,$A$57:$A$63,0),1))*(1-INDEX($E$57:$U$63,MATCH($B$3:$B$26,$A$57:$A$63,0),MATCH(L$2,$E$56:$U$56,0)))</f>
        <v>278.61321178948214</v>
      </c>
      <c r="M3" s="28">
        <f t="shared" ref="M3:U3" si="1">$F3/(1-INDEX($E$57:$U$63,MATCH($B$3:$B$26,$A$57:$A$63,0),1))*(1-INDEX($E$57:$U$63,MATCH($B$3:$B$26,$A$57:$A$63,0),MATCH(M$2,$E$56:$U$56,0)))</f>
        <v>270.80162641220699</v>
      </c>
      <c r="N3" s="28">
        <f t="shared" si="1"/>
        <v>262.99004103493172</v>
      </c>
      <c r="O3" s="28">
        <f t="shared" si="1"/>
        <v>255.1784556576566</v>
      </c>
      <c r="P3" s="28">
        <f t="shared" si="1"/>
        <v>247.36687028038139</v>
      </c>
      <c r="Q3" s="28">
        <f t="shared" si="1"/>
        <v>239.55528490310618</v>
      </c>
      <c r="R3" s="28">
        <f t="shared" si="1"/>
        <v>231.74369952583098</v>
      </c>
      <c r="S3" s="28">
        <f t="shared" si="1"/>
        <v>223.93211414855574</v>
      </c>
      <c r="T3" s="28">
        <f t="shared" si="1"/>
        <v>216.12052877128053</v>
      </c>
      <c r="U3" s="28">
        <f t="shared" si="1"/>
        <v>208.30894339400538</v>
      </c>
      <c r="V3" s="28">
        <f>$F3/(1-INDEX($E$57:$AJ$63,MATCH($B$3:$B$26,$A$57:$A$63,0),1))*(1-INDEX($E$57:$AJ$63,MATCH($B$3:$B$26,$A$57:$A$63,0),MATCH(V$2,$E$56:$AJ$56,0)))</f>
        <v>194.42168050107173</v>
      </c>
      <c r="W3" s="28">
        <f t="shared" ref="W3:AJ18" si="2">$F3/(1-INDEX($E$57:$AJ$63,MATCH($B$3:$B$26,$A$57:$A$63,0),1))*(1-INDEX($E$57:$AJ$63,MATCH($B$3:$B$26,$A$57:$A$63,0),MATCH(W$2,$E$56:$AJ$56,0)))</f>
        <v>180.53441760813806</v>
      </c>
      <c r="X3" s="28">
        <f t="shared" si="2"/>
        <v>166.64715471520441</v>
      </c>
      <c r="Y3" s="28">
        <f t="shared" si="2"/>
        <v>152.75989182227073</v>
      </c>
      <c r="Z3" s="28">
        <f t="shared" si="2"/>
        <v>138.87262892933705</v>
      </c>
      <c r="AA3" s="28">
        <f t="shared" si="2"/>
        <v>124.98536603640339</v>
      </c>
      <c r="AB3" s="28">
        <f t="shared" si="2"/>
        <v>111.09810314346973</v>
      </c>
      <c r="AC3" s="28">
        <f t="shared" si="2"/>
        <v>97.210840250536066</v>
      </c>
      <c r="AD3" s="28">
        <f t="shared" si="2"/>
        <v>83.323577357602403</v>
      </c>
      <c r="AE3" s="28">
        <f t="shared" si="2"/>
        <v>69.43631446466874</v>
      </c>
      <c r="AF3" s="28">
        <f t="shared" si="2"/>
        <v>55.54905157173507</v>
      </c>
      <c r="AG3" s="28">
        <f t="shared" si="2"/>
        <v>41.6617886788014</v>
      </c>
      <c r="AH3" s="28">
        <f t="shared" si="2"/>
        <v>27.774525785867738</v>
      </c>
      <c r="AI3" s="28">
        <f t="shared" si="2"/>
        <v>13.887262892934071</v>
      </c>
      <c r="AJ3" s="28">
        <f t="shared" si="2"/>
        <v>0</v>
      </c>
    </row>
    <row r="4" spans="1:36">
      <c r="A4" t="s">
        <v>10</v>
      </c>
      <c r="B4" s="49" t="s">
        <v>67</v>
      </c>
      <c r="C4" s="28">
        <v>1067.13435147528</v>
      </c>
      <c r="D4" s="28">
        <v>501.21389750475788</v>
      </c>
      <c r="E4" s="28">
        <v>501.21389750475788</v>
      </c>
      <c r="F4" s="28">
        <f>INDEX('[2]Emissions Factors'!$B$3:$H$33,MATCH('[2]1-4.5'!F$2,'[2]Emissions Factors'!$A$3:$A$33,0),MATCH($B4,'[2]Emissions Factors'!$B$2:$H$2,0))</f>
        <v>333.29430943040865</v>
      </c>
      <c r="G4" s="28">
        <f>INDEX('[2]Emissions Factors'!$B$3:$H$33,MATCH('[2]1-4.5'!G$2,'[2]Emissions Factors'!$A$3:$A$33,0),MATCH($B4,'[2]Emissions Factors'!$B$2:$H$2,0))</f>
        <v>294.64697289492551</v>
      </c>
      <c r="H4" s="28">
        <f>INDEX('[2]Emissions Factors'!$B$3:$H$33,MATCH('[2]1-4.5'!H$2,'[2]Emissions Factors'!$A$3:$A$33,0),MATCH($B4,'[2]Emissions Factors'!$B$2:$H$2,0))</f>
        <v>404.02383185580527</v>
      </c>
      <c r="I4" s="28">
        <f>INDEX('[2]Emissions Factors'!$B$3:$H$33,MATCH('[2]1-4.5'!I$2,'[2]Emissions Factors'!$A$3:$A$33,0),MATCH($B4,'[2]Emissions Factors'!$B$2:$H$2,0))</f>
        <v>518.9757072038999</v>
      </c>
      <c r="J4" s="28">
        <f>INDEX('[2]Emissions Factors'!$B$3:$H$33,MATCH('[2]1-4.5'!J$2,'[2]Emissions Factors'!$A$3:$A$33,0),MATCH($B4,'[2]Emissions Factors'!$B$2:$H$2,0))</f>
        <v>518.9757072038999</v>
      </c>
      <c r="K4" s="28">
        <f t="shared" si="0"/>
        <v>286.4247971667574</v>
      </c>
      <c r="L4" s="28">
        <f t="shared" ref="L4:U26" si="3">$F4/(1-INDEX($E$57:$U$63,MATCH($B$3:$B$26,$A$57:$A$63,0),1))*(1-INDEX($E$57:$U$63,MATCH($B$3:$B$26,$A$57:$A$63,0),MATCH(L$2,$E$56:$U$56,0)))</f>
        <v>278.61321178948214</v>
      </c>
      <c r="M4" s="28">
        <f t="shared" si="3"/>
        <v>270.80162641220699</v>
      </c>
      <c r="N4" s="28">
        <f t="shared" si="3"/>
        <v>262.99004103493172</v>
      </c>
      <c r="O4" s="28">
        <f t="shared" si="3"/>
        <v>255.1784556576566</v>
      </c>
      <c r="P4" s="28">
        <f t="shared" si="3"/>
        <v>247.36687028038139</v>
      </c>
      <c r="Q4" s="28">
        <f t="shared" si="3"/>
        <v>239.55528490310618</v>
      </c>
      <c r="R4" s="28">
        <f t="shared" si="3"/>
        <v>231.74369952583098</v>
      </c>
      <c r="S4" s="28">
        <f t="shared" si="3"/>
        <v>223.93211414855574</v>
      </c>
      <c r="T4" s="28">
        <f t="shared" si="3"/>
        <v>216.12052877128053</v>
      </c>
      <c r="U4" s="28">
        <f t="shared" si="3"/>
        <v>208.30894339400538</v>
      </c>
      <c r="V4" s="28">
        <f t="shared" ref="V4:AJ26" si="4">$F4/(1-INDEX($E$57:$AJ$63,MATCH($B$3:$B$26,$A$57:$A$63,0),1))*(1-INDEX($E$57:$AJ$63,MATCH($B$3:$B$26,$A$57:$A$63,0),MATCH(V$2,$E$56:$AJ$56,0)))</f>
        <v>194.42168050107173</v>
      </c>
      <c r="W4" s="28">
        <f t="shared" si="2"/>
        <v>180.53441760813806</v>
      </c>
      <c r="X4" s="28">
        <f t="shared" si="2"/>
        <v>166.64715471520441</v>
      </c>
      <c r="Y4" s="28">
        <f t="shared" si="2"/>
        <v>152.75989182227073</v>
      </c>
      <c r="Z4" s="28">
        <f t="shared" si="2"/>
        <v>138.87262892933705</v>
      </c>
      <c r="AA4" s="28">
        <f t="shared" si="2"/>
        <v>124.98536603640339</v>
      </c>
      <c r="AB4" s="28">
        <f t="shared" si="2"/>
        <v>111.09810314346973</v>
      </c>
      <c r="AC4" s="28">
        <f t="shared" si="2"/>
        <v>97.210840250536066</v>
      </c>
      <c r="AD4" s="28">
        <f t="shared" si="2"/>
        <v>83.323577357602403</v>
      </c>
      <c r="AE4" s="28">
        <f t="shared" si="2"/>
        <v>69.43631446466874</v>
      </c>
      <c r="AF4" s="28">
        <f t="shared" si="2"/>
        <v>55.54905157173507</v>
      </c>
      <c r="AG4" s="28">
        <f t="shared" si="2"/>
        <v>41.6617886788014</v>
      </c>
      <c r="AH4" s="28">
        <f t="shared" si="2"/>
        <v>27.774525785867738</v>
      </c>
      <c r="AI4" s="28">
        <f t="shared" si="2"/>
        <v>13.887262892934071</v>
      </c>
      <c r="AJ4" s="28">
        <f t="shared" si="2"/>
        <v>0</v>
      </c>
    </row>
    <row r="5" spans="1:36">
      <c r="A5" t="s">
        <v>11</v>
      </c>
      <c r="B5" s="52" t="s">
        <v>69</v>
      </c>
      <c r="C5" s="28"/>
      <c r="D5" s="28">
        <v>501.21389750475788</v>
      </c>
      <c r="E5" s="28">
        <v>501.21389750475788</v>
      </c>
      <c r="F5" s="28">
        <f>INDEX('[2]Emissions Factors'!$B$3:$H$33,MATCH('[2]1-4.5'!F$2,'[2]Emissions Factors'!$A$3:$A$33,0),MATCH($B5,'[2]Emissions Factors'!$B$2:$H$2,0))</f>
        <v>376.32489403924421</v>
      </c>
      <c r="G5" s="28">
        <f>INDEX('[2]Emissions Factors'!$B$3:$H$33,MATCH('[2]1-4.5'!G$2,'[2]Emissions Factors'!$A$3:$A$33,0),MATCH($B5,'[2]Emissions Factors'!$B$2:$H$2,0))</f>
        <v>347.32927927997497</v>
      </c>
      <c r="H5" s="28">
        <f>INDEX('[2]Emissions Factors'!$B$3:$H$33,MATCH('[2]1-4.5'!H$2,'[2]Emissions Factors'!$A$3:$A$33,0),MATCH($B5,'[2]Emissions Factors'!$B$2:$H$2,0))</f>
        <v>314.49746412610199</v>
      </c>
      <c r="I5" s="28">
        <f>INDEX('[2]Emissions Factors'!$B$3:$H$33,MATCH('[2]1-4.5'!I$2,'[2]Emissions Factors'!$A$3:$A$33,0),MATCH($B5,'[2]Emissions Factors'!$B$2:$H$2,0))</f>
        <v>345.49459306875832</v>
      </c>
      <c r="J5" s="28">
        <f>INDEX('[2]Emissions Factors'!$B$3:$H$33,MATCH('[2]1-4.5'!J$2,'[2]Emissions Factors'!$A$3:$A$33,0),MATCH($B5,'[2]Emissions Factors'!$B$2:$H$2,0))</f>
        <v>345.49459306875832</v>
      </c>
      <c r="K5" s="28">
        <f t="shared" si="0"/>
        <v>309.19402101401448</v>
      </c>
      <c r="L5" s="28">
        <f t="shared" si="3"/>
        <v>297.87487381049033</v>
      </c>
      <c r="M5" s="28">
        <f t="shared" si="3"/>
        <v>286.55572660696618</v>
      </c>
      <c r="N5" s="28">
        <f t="shared" si="3"/>
        <v>275.23657940344202</v>
      </c>
      <c r="O5" s="28">
        <f t="shared" si="3"/>
        <v>263.91743219991787</v>
      </c>
      <c r="P5" s="28">
        <f t="shared" si="3"/>
        <v>252.59828499639372</v>
      </c>
      <c r="Q5" s="28">
        <f t="shared" si="3"/>
        <v>241.27913779286956</v>
      </c>
      <c r="R5" s="28">
        <f t="shared" si="3"/>
        <v>229.95999058934544</v>
      </c>
      <c r="S5" s="28">
        <f t="shared" si="3"/>
        <v>218.64084338582128</v>
      </c>
      <c r="T5" s="28">
        <f t="shared" si="3"/>
        <v>207.32169618229713</v>
      </c>
      <c r="U5" s="28">
        <f t="shared" si="3"/>
        <v>196.00254897877304</v>
      </c>
      <c r="V5" s="28">
        <f t="shared" si="4"/>
        <v>182.93571238018819</v>
      </c>
      <c r="W5" s="28">
        <f t="shared" si="2"/>
        <v>169.86887578160335</v>
      </c>
      <c r="X5" s="28">
        <f t="shared" si="2"/>
        <v>156.80203918301851</v>
      </c>
      <c r="Y5" s="28">
        <f t="shared" si="2"/>
        <v>143.73520258443367</v>
      </c>
      <c r="Z5" s="28">
        <f t="shared" si="2"/>
        <v>130.66836598584882</v>
      </c>
      <c r="AA5" s="28">
        <f t="shared" si="2"/>
        <v>117.60152938726398</v>
      </c>
      <c r="AB5" s="28">
        <f t="shared" si="2"/>
        <v>104.53469278867914</v>
      </c>
      <c r="AC5" s="28">
        <f t="shared" si="2"/>
        <v>91.467856190094295</v>
      </c>
      <c r="AD5" s="28">
        <f t="shared" si="2"/>
        <v>78.401019591509439</v>
      </c>
      <c r="AE5" s="28">
        <f t="shared" si="2"/>
        <v>65.334182992924596</v>
      </c>
      <c r="AF5" s="28">
        <f t="shared" si="2"/>
        <v>52.267346394339754</v>
      </c>
      <c r="AG5" s="28">
        <f t="shared" si="2"/>
        <v>39.200509795754911</v>
      </c>
      <c r="AH5" s="28">
        <f t="shared" si="2"/>
        <v>26.133673197170069</v>
      </c>
      <c r="AI5" s="28">
        <f t="shared" si="2"/>
        <v>13.066836598585224</v>
      </c>
      <c r="AJ5" s="28">
        <f t="shared" si="2"/>
        <v>0</v>
      </c>
    </row>
    <row r="6" spans="1:36">
      <c r="A6" t="s">
        <v>12</v>
      </c>
      <c r="B6" s="50" t="s">
        <v>68</v>
      </c>
      <c r="C6" s="28">
        <v>565.90458032780009</v>
      </c>
      <c r="D6" s="28">
        <v>445</v>
      </c>
      <c r="E6" s="28">
        <v>445</v>
      </c>
      <c r="F6" s="28">
        <f>INDEX('[2]Emissions Factors'!$B$3:$H$33,MATCH('[2]1-4.5'!F$2,'[2]Emissions Factors'!$A$3:$A$33,0),MATCH($B6,'[2]Emissions Factors'!$B$2:$H$2,0))</f>
        <v>262.97015258572293</v>
      </c>
      <c r="G6" s="28">
        <f>INDEX('[2]Emissions Factors'!$B$3:$H$33,MATCH('[2]1-4.5'!G$2,'[2]Emissions Factors'!$A$3:$A$33,0),MATCH($B6,'[2]Emissions Factors'!$B$2:$H$2,0))</f>
        <v>200.59092056579323</v>
      </c>
      <c r="H6" s="28">
        <f>INDEX('[2]Emissions Factors'!$B$3:$H$33,MATCH('[2]1-4.5'!H$2,'[2]Emissions Factors'!$A$3:$A$33,0),MATCH($B6,'[2]Emissions Factors'!$B$2:$H$2,0))</f>
        <v>206.34773404709841</v>
      </c>
      <c r="I6" s="28">
        <f>INDEX('[2]Emissions Factors'!$B$3:$H$33,MATCH('[2]1-4.5'!I$2,'[2]Emissions Factors'!$A$3:$A$33,0),MATCH($B6,'[2]Emissions Factors'!$B$2:$H$2,0))</f>
        <v>143.47719557694782</v>
      </c>
      <c r="J6" s="28">
        <f>INDEX('[2]Emissions Factors'!$B$3:$H$33,MATCH('[2]1-4.5'!J$2,'[2]Emissions Factors'!$A$3:$A$33,0),MATCH($B6,'[2]Emissions Factors'!$B$2:$H$2,0))</f>
        <v>143.47719557694782</v>
      </c>
      <c r="K6" s="28">
        <f t="shared" si="0"/>
        <v>230.09888351250757</v>
      </c>
      <c r="L6" s="28">
        <f t="shared" si="3"/>
        <v>218.04608485232859</v>
      </c>
      <c r="M6" s="28">
        <f t="shared" si="3"/>
        <v>205.99328619214964</v>
      </c>
      <c r="N6" s="28">
        <f t="shared" si="3"/>
        <v>193.94048753197072</v>
      </c>
      <c r="O6" s="28">
        <f t="shared" si="3"/>
        <v>181.88768887179174</v>
      </c>
      <c r="P6" s="28">
        <f t="shared" si="3"/>
        <v>169.83489021161276</v>
      </c>
      <c r="Q6" s="28">
        <f t="shared" si="3"/>
        <v>157.78209155143378</v>
      </c>
      <c r="R6" s="28">
        <f t="shared" si="3"/>
        <v>145.7292928912548</v>
      </c>
      <c r="S6" s="28">
        <f t="shared" si="3"/>
        <v>133.67649423107582</v>
      </c>
      <c r="T6" s="28">
        <f t="shared" si="3"/>
        <v>121.62369557089684</v>
      </c>
      <c r="U6" s="28">
        <f t="shared" si="3"/>
        <v>109.57089691071791</v>
      </c>
      <c r="V6" s="28">
        <f t="shared" si="4"/>
        <v>98.613807219646105</v>
      </c>
      <c r="W6" s="28">
        <f t="shared" si="2"/>
        <v>87.656717528574305</v>
      </c>
      <c r="X6" s="28">
        <f t="shared" si="2"/>
        <v>76.699627837502504</v>
      </c>
      <c r="Y6" s="28">
        <f t="shared" si="2"/>
        <v>65.742538146430704</v>
      </c>
      <c r="Z6" s="28">
        <f t="shared" si="2"/>
        <v>54.78544845535891</v>
      </c>
      <c r="AA6" s="28">
        <f t="shared" si="2"/>
        <v>43.82835876428711</v>
      </c>
      <c r="AB6" s="28">
        <f t="shared" si="2"/>
        <v>32.871269073215316</v>
      </c>
      <c r="AC6" s="28">
        <f t="shared" si="2"/>
        <v>21.914179382143516</v>
      </c>
      <c r="AD6" s="28">
        <f t="shared" si="2"/>
        <v>10.957089691071717</v>
      </c>
      <c r="AE6" s="28">
        <f t="shared" si="2"/>
        <v>0</v>
      </c>
      <c r="AF6" s="28">
        <f t="shared" si="2"/>
        <v>0</v>
      </c>
      <c r="AG6" s="28">
        <f t="shared" si="2"/>
        <v>0</v>
      </c>
      <c r="AH6" s="28">
        <f t="shared" si="2"/>
        <v>0</v>
      </c>
      <c r="AI6" s="28">
        <f t="shared" si="2"/>
        <v>0</v>
      </c>
      <c r="AJ6" s="28">
        <f t="shared" si="2"/>
        <v>0</v>
      </c>
    </row>
    <row r="7" spans="1:36">
      <c r="A7" t="s">
        <v>13</v>
      </c>
      <c r="B7" s="49" t="s">
        <v>67</v>
      </c>
      <c r="C7" s="28">
        <v>1067.13435147528</v>
      </c>
      <c r="D7" s="28">
        <v>528.71613442157673</v>
      </c>
      <c r="E7" s="28">
        <v>528.71613442157673</v>
      </c>
      <c r="F7" s="28">
        <f>INDEX('[2]Emissions Factors'!$B$3:$H$33,MATCH('[2]1-4.5'!F$2,'[2]Emissions Factors'!$A$3:$A$33,0),MATCH($B7,'[2]Emissions Factors'!$B$2:$H$2,0))</f>
        <v>333.29430943040865</v>
      </c>
      <c r="G7" s="28">
        <f>INDEX('[2]Emissions Factors'!$B$3:$H$33,MATCH('[2]1-4.5'!G$2,'[2]Emissions Factors'!$A$3:$A$33,0),MATCH($B7,'[2]Emissions Factors'!$B$2:$H$2,0))</f>
        <v>294.64697289492551</v>
      </c>
      <c r="H7" s="28">
        <f>INDEX('[2]Emissions Factors'!$B$3:$H$33,MATCH('[2]1-4.5'!H$2,'[2]Emissions Factors'!$A$3:$A$33,0),MATCH($B7,'[2]Emissions Factors'!$B$2:$H$2,0))</f>
        <v>404.02383185580527</v>
      </c>
      <c r="I7" s="28">
        <f>INDEX('[2]Emissions Factors'!$B$3:$H$33,MATCH('[2]1-4.5'!I$2,'[2]Emissions Factors'!$A$3:$A$33,0),MATCH($B7,'[2]Emissions Factors'!$B$2:$H$2,0))</f>
        <v>518.9757072038999</v>
      </c>
      <c r="J7" s="28">
        <f>INDEX('[2]Emissions Factors'!$B$3:$H$33,MATCH('[2]1-4.5'!J$2,'[2]Emissions Factors'!$A$3:$A$33,0),MATCH($B7,'[2]Emissions Factors'!$B$2:$H$2,0))</f>
        <v>518.9757072038999</v>
      </c>
      <c r="K7" s="28">
        <f t="shared" si="0"/>
        <v>286.4247971667574</v>
      </c>
      <c r="L7" s="28">
        <f t="shared" si="3"/>
        <v>278.61321178948214</v>
      </c>
      <c r="M7" s="28">
        <f t="shared" si="3"/>
        <v>270.80162641220699</v>
      </c>
      <c r="N7" s="28">
        <f t="shared" si="3"/>
        <v>262.99004103493172</v>
      </c>
      <c r="O7" s="28">
        <f t="shared" si="3"/>
        <v>255.1784556576566</v>
      </c>
      <c r="P7" s="28">
        <f t="shared" si="3"/>
        <v>247.36687028038139</v>
      </c>
      <c r="Q7" s="28">
        <f t="shared" si="3"/>
        <v>239.55528490310618</v>
      </c>
      <c r="R7" s="28">
        <f t="shared" si="3"/>
        <v>231.74369952583098</v>
      </c>
      <c r="S7" s="28">
        <f t="shared" si="3"/>
        <v>223.93211414855574</v>
      </c>
      <c r="T7" s="28">
        <f t="shared" si="3"/>
        <v>216.12052877128053</v>
      </c>
      <c r="U7" s="28">
        <f t="shared" si="3"/>
        <v>208.30894339400538</v>
      </c>
      <c r="V7" s="28">
        <f t="shared" si="4"/>
        <v>194.42168050107173</v>
      </c>
      <c r="W7" s="28">
        <f t="shared" si="2"/>
        <v>180.53441760813806</v>
      </c>
      <c r="X7" s="28">
        <f t="shared" si="2"/>
        <v>166.64715471520441</v>
      </c>
      <c r="Y7" s="28">
        <f t="shared" si="2"/>
        <v>152.75989182227073</v>
      </c>
      <c r="Z7" s="28">
        <f t="shared" si="2"/>
        <v>138.87262892933705</v>
      </c>
      <c r="AA7" s="28">
        <f t="shared" si="2"/>
        <v>124.98536603640339</v>
      </c>
      <c r="AB7" s="28">
        <f t="shared" si="2"/>
        <v>111.09810314346973</v>
      </c>
      <c r="AC7" s="28">
        <f t="shared" si="2"/>
        <v>97.210840250536066</v>
      </c>
      <c r="AD7" s="28">
        <f t="shared" si="2"/>
        <v>83.323577357602403</v>
      </c>
      <c r="AE7" s="28">
        <f t="shared" si="2"/>
        <v>69.43631446466874</v>
      </c>
      <c r="AF7" s="28">
        <f t="shared" si="2"/>
        <v>55.54905157173507</v>
      </c>
      <c r="AG7" s="28">
        <f t="shared" si="2"/>
        <v>41.6617886788014</v>
      </c>
      <c r="AH7" s="28">
        <f t="shared" si="2"/>
        <v>27.774525785867738</v>
      </c>
      <c r="AI7" s="28">
        <f t="shared" si="2"/>
        <v>13.887262892934071</v>
      </c>
      <c r="AJ7" s="28">
        <f t="shared" si="2"/>
        <v>0</v>
      </c>
    </row>
    <row r="8" spans="1:36">
      <c r="A8" t="s">
        <v>14</v>
      </c>
      <c r="B8" s="49" t="s">
        <v>67</v>
      </c>
      <c r="C8" s="28">
        <v>565.90458032780009</v>
      </c>
      <c r="D8" s="28">
        <v>528.71613442157673</v>
      </c>
      <c r="E8" s="28">
        <v>528.71613442157673</v>
      </c>
      <c r="F8" s="28">
        <f>INDEX('[2]Emissions Factors'!$B$3:$H$33,MATCH('[2]1-4.5'!F$2,'[2]Emissions Factors'!$A$3:$A$33,0),MATCH($B8,'[2]Emissions Factors'!$B$2:$H$2,0))</f>
        <v>333.29430943040865</v>
      </c>
      <c r="G8" s="28">
        <f>INDEX('[2]Emissions Factors'!$B$3:$H$33,MATCH('[2]1-4.5'!G$2,'[2]Emissions Factors'!$A$3:$A$33,0),MATCH($B8,'[2]Emissions Factors'!$B$2:$H$2,0))</f>
        <v>294.64697289492551</v>
      </c>
      <c r="H8" s="28">
        <f>INDEX('[2]Emissions Factors'!$B$3:$H$33,MATCH('[2]1-4.5'!H$2,'[2]Emissions Factors'!$A$3:$A$33,0),MATCH($B8,'[2]Emissions Factors'!$B$2:$H$2,0))</f>
        <v>404.02383185580527</v>
      </c>
      <c r="I8" s="28">
        <f>INDEX('[2]Emissions Factors'!$B$3:$H$33,MATCH('[2]1-4.5'!I$2,'[2]Emissions Factors'!$A$3:$A$33,0),MATCH($B8,'[2]Emissions Factors'!$B$2:$H$2,0))</f>
        <v>518.9757072038999</v>
      </c>
      <c r="J8" s="28">
        <f>INDEX('[2]Emissions Factors'!$B$3:$H$33,MATCH('[2]1-4.5'!J$2,'[2]Emissions Factors'!$A$3:$A$33,0),MATCH($B8,'[2]Emissions Factors'!$B$2:$H$2,0))</f>
        <v>518.9757072038999</v>
      </c>
      <c r="K8" s="28">
        <f t="shared" si="0"/>
        <v>286.4247971667574</v>
      </c>
      <c r="L8" s="28">
        <f t="shared" si="3"/>
        <v>278.61321178948214</v>
      </c>
      <c r="M8" s="28">
        <f t="shared" si="3"/>
        <v>270.80162641220699</v>
      </c>
      <c r="N8" s="28">
        <f t="shared" si="3"/>
        <v>262.99004103493172</v>
      </c>
      <c r="O8" s="28">
        <f t="shared" si="3"/>
        <v>255.1784556576566</v>
      </c>
      <c r="P8" s="28">
        <f t="shared" si="3"/>
        <v>247.36687028038139</v>
      </c>
      <c r="Q8" s="28">
        <f t="shared" si="3"/>
        <v>239.55528490310618</v>
      </c>
      <c r="R8" s="28">
        <f t="shared" si="3"/>
        <v>231.74369952583098</v>
      </c>
      <c r="S8" s="28">
        <f t="shared" si="3"/>
        <v>223.93211414855574</v>
      </c>
      <c r="T8" s="28">
        <f t="shared" si="3"/>
        <v>216.12052877128053</v>
      </c>
      <c r="U8" s="28">
        <f t="shared" si="3"/>
        <v>208.30894339400538</v>
      </c>
      <c r="V8" s="28">
        <f t="shared" si="4"/>
        <v>194.42168050107173</v>
      </c>
      <c r="W8" s="28">
        <f t="shared" si="2"/>
        <v>180.53441760813806</v>
      </c>
      <c r="X8" s="28">
        <f t="shared" si="2"/>
        <v>166.64715471520441</v>
      </c>
      <c r="Y8" s="28">
        <f t="shared" si="2"/>
        <v>152.75989182227073</v>
      </c>
      <c r="Z8" s="28">
        <f t="shared" si="2"/>
        <v>138.87262892933705</v>
      </c>
      <c r="AA8" s="28">
        <f t="shared" si="2"/>
        <v>124.98536603640339</v>
      </c>
      <c r="AB8" s="28">
        <f t="shared" si="2"/>
        <v>111.09810314346973</v>
      </c>
      <c r="AC8" s="28">
        <f t="shared" si="2"/>
        <v>97.210840250536066</v>
      </c>
      <c r="AD8" s="28">
        <f t="shared" si="2"/>
        <v>83.323577357602403</v>
      </c>
      <c r="AE8" s="28">
        <f t="shared" si="2"/>
        <v>69.43631446466874</v>
      </c>
      <c r="AF8" s="28">
        <f t="shared" si="2"/>
        <v>55.54905157173507</v>
      </c>
      <c r="AG8" s="28">
        <f t="shared" si="2"/>
        <v>41.6617886788014</v>
      </c>
      <c r="AH8" s="28">
        <f t="shared" si="2"/>
        <v>27.774525785867738</v>
      </c>
      <c r="AI8" s="28">
        <f t="shared" si="2"/>
        <v>13.887262892934071</v>
      </c>
      <c r="AJ8" s="28">
        <f t="shared" si="2"/>
        <v>0</v>
      </c>
    </row>
    <row r="9" spans="1:36">
      <c r="A9" t="s">
        <v>15</v>
      </c>
      <c r="B9" s="49" t="s">
        <v>67</v>
      </c>
      <c r="C9" s="28">
        <v>565.90458032780009</v>
      </c>
      <c r="D9" s="28">
        <v>528.71613442157673</v>
      </c>
      <c r="E9" s="28">
        <v>528.71613442157673</v>
      </c>
      <c r="F9" s="28">
        <f>INDEX('[2]Emissions Factors'!$B$3:$H$33,MATCH('[2]1-4.5'!F$2,'[2]Emissions Factors'!$A$3:$A$33,0),MATCH($B9,'[2]Emissions Factors'!$B$2:$H$2,0))</f>
        <v>333.29430943040865</v>
      </c>
      <c r="G9" s="28">
        <f>INDEX('[2]Emissions Factors'!$B$3:$H$33,MATCH('[2]1-4.5'!G$2,'[2]Emissions Factors'!$A$3:$A$33,0),MATCH($B9,'[2]Emissions Factors'!$B$2:$H$2,0))</f>
        <v>294.64697289492551</v>
      </c>
      <c r="H9" s="28">
        <f>INDEX('[2]Emissions Factors'!$B$3:$H$33,MATCH('[2]1-4.5'!H$2,'[2]Emissions Factors'!$A$3:$A$33,0),MATCH($B9,'[2]Emissions Factors'!$B$2:$H$2,0))</f>
        <v>404.02383185580527</v>
      </c>
      <c r="I9" s="28">
        <f>INDEX('[2]Emissions Factors'!$B$3:$H$33,MATCH('[2]1-4.5'!I$2,'[2]Emissions Factors'!$A$3:$A$33,0),MATCH($B9,'[2]Emissions Factors'!$B$2:$H$2,0))</f>
        <v>518.9757072038999</v>
      </c>
      <c r="J9" s="28">
        <f>INDEX('[2]Emissions Factors'!$B$3:$H$33,MATCH('[2]1-4.5'!J$2,'[2]Emissions Factors'!$A$3:$A$33,0),MATCH($B9,'[2]Emissions Factors'!$B$2:$H$2,0))</f>
        <v>518.9757072038999</v>
      </c>
      <c r="K9" s="28">
        <f t="shared" si="0"/>
        <v>286.4247971667574</v>
      </c>
      <c r="L9" s="28">
        <f t="shared" si="3"/>
        <v>278.61321178948214</v>
      </c>
      <c r="M9" s="28">
        <f t="shared" si="3"/>
        <v>270.80162641220699</v>
      </c>
      <c r="N9" s="28">
        <f t="shared" si="3"/>
        <v>262.99004103493172</v>
      </c>
      <c r="O9" s="28">
        <f t="shared" si="3"/>
        <v>255.1784556576566</v>
      </c>
      <c r="P9" s="28">
        <f t="shared" si="3"/>
        <v>247.36687028038139</v>
      </c>
      <c r="Q9" s="28">
        <f t="shared" si="3"/>
        <v>239.55528490310618</v>
      </c>
      <c r="R9" s="28">
        <f t="shared" si="3"/>
        <v>231.74369952583098</v>
      </c>
      <c r="S9" s="28">
        <f t="shared" si="3"/>
        <v>223.93211414855574</v>
      </c>
      <c r="T9" s="28">
        <f t="shared" si="3"/>
        <v>216.12052877128053</v>
      </c>
      <c r="U9" s="28">
        <f t="shared" si="3"/>
        <v>208.30894339400538</v>
      </c>
      <c r="V9" s="28">
        <f t="shared" si="4"/>
        <v>194.42168050107173</v>
      </c>
      <c r="W9" s="28">
        <f t="shared" si="2"/>
        <v>180.53441760813806</v>
      </c>
      <c r="X9" s="28">
        <f t="shared" si="2"/>
        <v>166.64715471520441</v>
      </c>
      <c r="Y9" s="28">
        <f t="shared" si="2"/>
        <v>152.75989182227073</v>
      </c>
      <c r="Z9" s="28">
        <f t="shared" si="2"/>
        <v>138.87262892933705</v>
      </c>
      <c r="AA9" s="28">
        <f t="shared" si="2"/>
        <v>124.98536603640339</v>
      </c>
      <c r="AB9" s="28">
        <f t="shared" si="2"/>
        <v>111.09810314346973</v>
      </c>
      <c r="AC9" s="28">
        <f t="shared" si="2"/>
        <v>97.210840250536066</v>
      </c>
      <c r="AD9" s="28">
        <f t="shared" si="2"/>
        <v>83.323577357602403</v>
      </c>
      <c r="AE9" s="28">
        <f t="shared" si="2"/>
        <v>69.43631446466874</v>
      </c>
      <c r="AF9" s="28">
        <f t="shared" si="2"/>
        <v>55.54905157173507</v>
      </c>
      <c r="AG9" s="28">
        <f t="shared" si="2"/>
        <v>41.6617886788014</v>
      </c>
      <c r="AH9" s="28">
        <f t="shared" si="2"/>
        <v>27.774525785867738</v>
      </c>
      <c r="AI9" s="28">
        <f t="shared" si="2"/>
        <v>13.887262892934071</v>
      </c>
      <c r="AJ9" s="28">
        <f t="shared" si="2"/>
        <v>0</v>
      </c>
    </row>
    <row r="10" spans="1:36">
      <c r="A10" t="s">
        <v>16</v>
      </c>
      <c r="B10" s="49" t="s">
        <v>69</v>
      </c>
      <c r="C10" s="28">
        <v>1067.13435147528</v>
      </c>
      <c r="D10" s="28">
        <v>501.21389750475788</v>
      </c>
      <c r="E10" s="28">
        <v>501.21389750475788</v>
      </c>
      <c r="F10" s="28">
        <f>INDEX('[2]Emissions Factors'!$B$3:$H$33,MATCH('[2]1-4.5'!F$2,'[2]Emissions Factors'!$A$3:$A$33,0),MATCH($B10,'[2]Emissions Factors'!$B$2:$H$2,0))</f>
        <v>376.32489403924421</v>
      </c>
      <c r="G10" s="28">
        <f>INDEX('[2]Emissions Factors'!$B$3:$H$33,MATCH('[2]1-4.5'!G$2,'[2]Emissions Factors'!$A$3:$A$33,0),MATCH($B10,'[2]Emissions Factors'!$B$2:$H$2,0))</f>
        <v>347.32927927997497</v>
      </c>
      <c r="H10" s="28">
        <f>INDEX('[2]Emissions Factors'!$B$3:$H$33,MATCH('[2]1-4.5'!H$2,'[2]Emissions Factors'!$A$3:$A$33,0),MATCH($B10,'[2]Emissions Factors'!$B$2:$H$2,0))</f>
        <v>314.49746412610199</v>
      </c>
      <c r="I10" s="28">
        <f>INDEX('[2]Emissions Factors'!$B$3:$H$33,MATCH('[2]1-4.5'!I$2,'[2]Emissions Factors'!$A$3:$A$33,0),MATCH($B10,'[2]Emissions Factors'!$B$2:$H$2,0))</f>
        <v>345.49459306875832</v>
      </c>
      <c r="J10" s="28">
        <f>INDEX('[2]Emissions Factors'!$B$3:$H$33,MATCH('[2]1-4.5'!J$2,'[2]Emissions Factors'!$A$3:$A$33,0),MATCH($B10,'[2]Emissions Factors'!$B$2:$H$2,0))</f>
        <v>345.49459306875832</v>
      </c>
      <c r="K10" s="28">
        <f t="shared" si="0"/>
        <v>309.19402101401448</v>
      </c>
      <c r="L10" s="28">
        <f t="shared" si="3"/>
        <v>297.87487381049033</v>
      </c>
      <c r="M10" s="28">
        <f t="shared" si="3"/>
        <v>286.55572660696618</v>
      </c>
      <c r="N10" s="28">
        <f t="shared" si="3"/>
        <v>275.23657940344202</v>
      </c>
      <c r="O10" s="28">
        <f t="shared" si="3"/>
        <v>263.91743219991787</v>
      </c>
      <c r="P10" s="28">
        <f t="shared" si="3"/>
        <v>252.59828499639372</v>
      </c>
      <c r="Q10" s="28">
        <f t="shared" si="3"/>
        <v>241.27913779286956</v>
      </c>
      <c r="R10" s="28">
        <f t="shared" si="3"/>
        <v>229.95999058934544</v>
      </c>
      <c r="S10" s="28">
        <f t="shared" si="3"/>
        <v>218.64084338582128</v>
      </c>
      <c r="T10" s="28">
        <f t="shared" si="3"/>
        <v>207.32169618229713</v>
      </c>
      <c r="U10" s="28">
        <f t="shared" si="3"/>
        <v>196.00254897877304</v>
      </c>
      <c r="V10" s="28">
        <f t="shared" si="4"/>
        <v>182.93571238018819</v>
      </c>
      <c r="W10" s="28">
        <f t="shared" si="2"/>
        <v>169.86887578160335</v>
      </c>
      <c r="X10" s="28">
        <f t="shared" si="2"/>
        <v>156.80203918301851</v>
      </c>
      <c r="Y10" s="28">
        <f t="shared" si="2"/>
        <v>143.73520258443367</v>
      </c>
      <c r="Z10" s="28">
        <f t="shared" si="2"/>
        <v>130.66836598584882</v>
      </c>
      <c r="AA10" s="28">
        <f t="shared" si="2"/>
        <v>117.60152938726398</v>
      </c>
      <c r="AB10" s="28">
        <f t="shared" si="2"/>
        <v>104.53469278867914</v>
      </c>
      <c r="AC10" s="28">
        <f t="shared" si="2"/>
        <v>91.467856190094295</v>
      </c>
      <c r="AD10" s="28">
        <f t="shared" si="2"/>
        <v>78.401019591509439</v>
      </c>
      <c r="AE10" s="28">
        <f t="shared" si="2"/>
        <v>65.334182992924596</v>
      </c>
      <c r="AF10" s="28">
        <f t="shared" si="2"/>
        <v>52.267346394339754</v>
      </c>
      <c r="AG10" s="28">
        <f t="shared" si="2"/>
        <v>39.200509795754911</v>
      </c>
      <c r="AH10" s="28">
        <f t="shared" si="2"/>
        <v>26.133673197170069</v>
      </c>
      <c r="AI10" s="28">
        <f t="shared" si="2"/>
        <v>13.066836598585224</v>
      </c>
      <c r="AJ10" s="28">
        <f t="shared" si="2"/>
        <v>0</v>
      </c>
    </row>
    <row r="11" spans="1:36">
      <c r="A11" t="s">
        <v>17</v>
      </c>
      <c r="B11" s="49" t="s">
        <v>67</v>
      </c>
      <c r="C11" s="28">
        <v>565.90458032780009</v>
      </c>
      <c r="D11" s="28">
        <v>528.71613442157673</v>
      </c>
      <c r="E11" s="28">
        <v>528.71613442157673</v>
      </c>
      <c r="F11" s="28">
        <f>INDEX('[2]Emissions Factors'!$B$3:$H$33,MATCH('[2]1-4.5'!F$2,'[2]Emissions Factors'!$A$3:$A$33,0),MATCH($B11,'[2]Emissions Factors'!$B$2:$H$2,0))</f>
        <v>333.29430943040865</v>
      </c>
      <c r="G11" s="28">
        <f>INDEX('[2]Emissions Factors'!$B$3:$H$33,MATCH('[2]1-4.5'!G$2,'[2]Emissions Factors'!$A$3:$A$33,0),MATCH($B11,'[2]Emissions Factors'!$B$2:$H$2,0))</f>
        <v>294.64697289492551</v>
      </c>
      <c r="H11" s="28">
        <f>INDEX('[2]Emissions Factors'!$B$3:$H$33,MATCH('[2]1-4.5'!H$2,'[2]Emissions Factors'!$A$3:$A$33,0),MATCH($B11,'[2]Emissions Factors'!$B$2:$H$2,0))</f>
        <v>404.02383185580527</v>
      </c>
      <c r="I11" s="28">
        <f>INDEX('[2]Emissions Factors'!$B$3:$H$33,MATCH('[2]1-4.5'!I$2,'[2]Emissions Factors'!$A$3:$A$33,0),MATCH($B11,'[2]Emissions Factors'!$B$2:$H$2,0))</f>
        <v>518.9757072038999</v>
      </c>
      <c r="J11" s="28">
        <f>INDEX('[2]Emissions Factors'!$B$3:$H$33,MATCH('[2]1-4.5'!J$2,'[2]Emissions Factors'!$A$3:$A$33,0),MATCH($B11,'[2]Emissions Factors'!$B$2:$H$2,0))</f>
        <v>518.9757072038999</v>
      </c>
      <c r="K11" s="28">
        <f t="shared" si="0"/>
        <v>286.4247971667574</v>
      </c>
      <c r="L11" s="28">
        <f t="shared" si="3"/>
        <v>278.61321178948214</v>
      </c>
      <c r="M11" s="28">
        <f t="shared" si="3"/>
        <v>270.80162641220699</v>
      </c>
      <c r="N11" s="28">
        <f t="shared" si="3"/>
        <v>262.99004103493172</v>
      </c>
      <c r="O11" s="28">
        <f t="shared" si="3"/>
        <v>255.1784556576566</v>
      </c>
      <c r="P11" s="28">
        <f t="shared" si="3"/>
        <v>247.36687028038139</v>
      </c>
      <c r="Q11" s="28">
        <f t="shared" si="3"/>
        <v>239.55528490310618</v>
      </c>
      <c r="R11" s="28">
        <f t="shared" si="3"/>
        <v>231.74369952583098</v>
      </c>
      <c r="S11" s="28">
        <f t="shared" si="3"/>
        <v>223.93211414855574</v>
      </c>
      <c r="T11" s="28">
        <f t="shared" si="3"/>
        <v>216.12052877128053</v>
      </c>
      <c r="U11" s="28">
        <f t="shared" si="3"/>
        <v>208.30894339400538</v>
      </c>
      <c r="V11" s="28">
        <f t="shared" si="4"/>
        <v>194.42168050107173</v>
      </c>
      <c r="W11" s="28">
        <f t="shared" si="2"/>
        <v>180.53441760813806</v>
      </c>
      <c r="X11" s="28">
        <f t="shared" si="2"/>
        <v>166.64715471520441</v>
      </c>
      <c r="Y11" s="28">
        <f t="shared" si="2"/>
        <v>152.75989182227073</v>
      </c>
      <c r="Z11" s="28">
        <f t="shared" si="2"/>
        <v>138.87262892933705</v>
      </c>
      <c r="AA11" s="28">
        <f t="shared" si="2"/>
        <v>124.98536603640339</v>
      </c>
      <c r="AB11" s="28">
        <f t="shared" si="2"/>
        <v>111.09810314346973</v>
      </c>
      <c r="AC11" s="28">
        <f t="shared" si="2"/>
        <v>97.210840250536066</v>
      </c>
      <c r="AD11" s="28">
        <f t="shared" si="2"/>
        <v>83.323577357602403</v>
      </c>
      <c r="AE11" s="28">
        <f t="shared" si="2"/>
        <v>69.43631446466874</v>
      </c>
      <c r="AF11" s="28">
        <f t="shared" si="2"/>
        <v>55.54905157173507</v>
      </c>
      <c r="AG11" s="28">
        <f t="shared" si="2"/>
        <v>41.6617886788014</v>
      </c>
      <c r="AH11" s="28">
        <f t="shared" si="2"/>
        <v>27.774525785867738</v>
      </c>
      <c r="AI11" s="28">
        <f t="shared" si="2"/>
        <v>13.887262892934071</v>
      </c>
      <c r="AJ11" s="28">
        <f t="shared" si="2"/>
        <v>0</v>
      </c>
    </row>
    <row r="12" spans="1:36">
      <c r="A12" t="s">
        <v>18</v>
      </c>
      <c r="B12" s="52" t="s">
        <v>69</v>
      </c>
      <c r="C12" s="28">
        <v>1067.13435147528</v>
      </c>
      <c r="D12" s="28">
        <v>501.21389750475788</v>
      </c>
      <c r="E12" s="28">
        <v>501.21389750475788</v>
      </c>
      <c r="F12" s="28">
        <f>INDEX('[2]Emissions Factors'!$B$3:$H$33,MATCH('[2]1-4.5'!F$2,'[2]Emissions Factors'!$A$3:$A$33,0),MATCH($B12,'[2]Emissions Factors'!$B$2:$H$2,0))</f>
        <v>376.32489403924421</v>
      </c>
      <c r="G12" s="28">
        <f>INDEX('[2]Emissions Factors'!$B$3:$H$33,MATCH('[2]1-4.5'!G$2,'[2]Emissions Factors'!$A$3:$A$33,0),MATCH($B12,'[2]Emissions Factors'!$B$2:$H$2,0))</f>
        <v>347.32927927997497</v>
      </c>
      <c r="H12" s="28">
        <f>INDEX('[2]Emissions Factors'!$B$3:$H$33,MATCH('[2]1-4.5'!H$2,'[2]Emissions Factors'!$A$3:$A$33,0),MATCH($B12,'[2]Emissions Factors'!$B$2:$H$2,0))</f>
        <v>314.49746412610199</v>
      </c>
      <c r="I12" s="28">
        <f>INDEX('[2]Emissions Factors'!$B$3:$H$33,MATCH('[2]1-4.5'!I$2,'[2]Emissions Factors'!$A$3:$A$33,0),MATCH($B12,'[2]Emissions Factors'!$B$2:$H$2,0))</f>
        <v>345.49459306875832</v>
      </c>
      <c r="J12" s="28">
        <f>INDEX('[2]Emissions Factors'!$B$3:$H$33,MATCH('[2]1-4.5'!J$2,'[2]Emissions Factors'!$A$3:$A$33,0),MATCH($B12,'[2]Emissions Factors'!$B$2:$H$2,0))</f>
        <v>345.49459306875832</v>
      </c>
      <c r="K12" s="28">
        <f t="shared" si="0"/>
        <v>309.19402101401448</v>
      </c>
      <c r="L12" s="28">
        <f t="shared" si="3"/>
        <v>297.87487381049033</v>
      </c>
      <c r="M12" s="28">
        <f t="shared" si="3"/>
        <v>286.55572660696618</v>
      </c>
      <c r="N12" s="28">
        <f t="shared" si="3"/>
        <v>275.23657940344202</v>
      </c>
      <c r="O12" s="28">
        <f t="shared" si="3"/>
        <v>263.91743219991787</v>
      </c>
      <c r="P12" s="28">
        <f t="shared" si="3"/>
        <v>252.59828499639372</v>
      </c>
      <c r="Q12" s="28">
        <f t="shared" si="3"/>
        <v>241.27913779286956</v>
      </c>
      <c r="R12" s="28">
        <f t="shared" si="3"/>
        <v>229.95999058934544</v>
      </c>
      <c r="S12" s="28">
        <f t="shared" si="3"/>
        <v>218.64084338582128</v>
      </c>
      <c r="T12" s="28">
        <f t="shared" si="3"/>
        <v>207.32169618229713</v>
      </c>
      <c r="U12" s="28">
        <f t="shared" si="3"/>
        <v>196.00254897877304</v>
      </c>
      <c r="V12" s="28">
        <f t="shared" si="4"/>
        <v>182.93571238018819</v>
      </c>
      <c r="W12" s="28">
        <f t="shared" si="2"/>
        <v>169.86887578160335</v>
      </c>
      <c r="X12" s="28">
        <f t="shared" si="2"/>
        <v>156.80203918301851</v>
      </c>
      <c r="Y12" s="28">
        <f t="shared" si="2"/>
        <v>143.73520258443367</v>
      </c>
      <c r="Z12" s="28">
        <f t="shared" si="2"/>
        <v>130.66836598584882</v>
      </c>
      <c r="AA12" s="28">
        <f t="shared" si="2"/>
        <v>117.60152938726398</v>
      </c>
      <c r="AB12" s="28">
        <f t="shared" si="2"/>
        <v>104.53469278867914</v>
      </c>
      <c r="AC12" s="28">
        <f t="shared" si="2"/>
        <v>91.467856190094295</v>
      </c>
      <c r="AD12" s="28">
        <f t="shared" si="2"/>
        <v>78.401019591509439</v>
      </c>
      <c r="AE12" s="28">
        <f t="shared" si="2"/>
        <v>65.334182992924596</v>
      </c>
      <c r="AF12" s="28">
        <f t="shared" si="2"/>
        <v>52.267346394339754</v>
      </c>
      <c r="AG12" s="28">
        <f t="shared" si="2"/>
        <v>39.200509795754911</v>
      </c>
      <c r="AH12" s="28">
        <f t="shared" si="2"/>
        <v>26.133673197170069</v>
      </c>
      <c r="AI12" s="28">
        <f t="shared" si="2"/>
        <v>13.066836598585224</v>
      </c>
      <c r="AJ12" s="28">
        <f t="shared" si="2"/>
        <v>0</v>
      </c>
    </row>
    <row r="13" spans="1:36">
      <c r="A13" t="s">
        <v>19</v>
      </c>
      <c r="B13" s="53" t="s">
        <v>70</v>
      </c>
      <c r="C13" s="28">
        <v>1551</v>
      </c>
      <c r="D13" s="28">
        <v>1094</v>
      </c>
      <c r="E13" s="28">
        <v>1094</v>
      </c>
      <c r="F13" s="28">
        <f>INDEX('[2]Emissions Factors'!$B$3:$H$33,MATCH('[2]1-4.5'!F$2,'[2]Emissions Factors'!$A$3:$A$33,0),MATCH($B13,'[2]Emissions Factors'!$B$2:$H$2,0))</f>
        <v>1204.974565252458</v>
      </c>
      <c r="G13" s="28">
        <f>INDEX('[2]Emissions Factors'!$B$3:$H$33,MATCH('[2]1-4.5'!G$2,'[2]Emissions Factors'!$A$3:$A$33,0),MATCH($B13,'[2]Emissions Factors'!$B$2:$H$2,0))</f>
        <v>771.46489914214249</v>
      </c>
      <c r="H13" s="28">
        <f>INDEX('[2]Emissions Factors'!$B$3:$H$33,MATCH('[2]1-4.5'!H$2,'[2]Emissions Factors'!$A$3:$A$33,0),MATCH($B13,'[2]Emissions Factors'!$B$2:$H$2,0))</f>
        <v>722.56296583034521</v>
      </c>
      <c r="I13" s="28">
        <f>INDEX('[2]Emissions Factors'!$B$3:$H$33,MATCH('[2]1-4.5'!I$2,'[2]Emissions Factors'!$A$3:$A$33,0),MATCH($B13,'[2]Emissions Factors'!$B$2:$H$2,0))</f>
        <v>676.88673217958399</v>
      </c>
      <c r="J13" s="28">
        <f>INDEX('[2]Emissions Factors'!$B$3:$H$33,MATCH('[2]1-4.5'!J$2,'[2]Emissions Factors'!$A$3:$A$33,0),MATCH($B13,'[2]Emissions Factors'!$B$2:$H$2,0))</f>
        <v>676.88673217958399</v>
      </c>
      <c r="K13" s="28">
        <f t="shared" ref="K13:K26" si="5">$F13/(1-INDEX($E$57:$K$63,MATCH($B$3:$B$26,$A$57:$A$63,0),1))*(1-INDEX($E$57:$K$63,MATCH($B$3:$B$26,$A$57:$A$63,0),MATCH(K$2,$E$56:$K$56,0)))</f>
        <v>1009.1661983989335</v>
      </c>
      <c r="L13" s="28">
        <f t="shared" si="3"/>
        <v>941.88845183900457</v>
      </c>
      <c r="M13" s="28">
        <f t="shared" si="3"/>
        <v>874.61070527907577</v>
      </c>
      <c r="N13" s="28">
        <f t="shared" si="3"/>
        <v>807.33295871914686</v>
      </c>
      <c r="O13" s="28">
        <f t="shared" si="3"/>
        <v>740.05521215921806</v>
      </c>
      <c r="P13" s="28">
        <f t="shared" si="3"/>
        <v>672.77746559928914</v>
      </c>
      <c r="Q13" s="28">
        <f t="shared" si="3"/>
        <v>605.49971903936034</v>
      </c>
      <c r="R13" s="28">
        <f t="shared" si="3"/>
        <v>538.22197247943143</v>
      </c>
      <c r="S13" s="28">
        <f t="shared" si="3"/>
        <v>470.94422591950263</v>
      </c>
      <c r="T13" s="28">
        <f t="shared" si="3"/>
        <v>403.66647935957377</v>
      </c>
      <c r="U13" s="28">
        <f t="shared" si="3"/>
        <v>336.38873279964491</v>
      </c>
      <c r="V13" s="28">
        <f t="shared" si="4"/>
        <v>269.11098623971588</v>
      </c>
      <c r="W13" s="28">
        <f t="shared" si="2"/>
        <v>201.83323967978689</v>
      </c>
      <c r="X13" s="28">
        <f t="shared" si="2"/>
        <v>134.55549311985786</v>
      </c>
      <c r="Y13" s="28">
        <f t="shared" si="2"/>
        <v>67.277746559928858</v>
      </c>
      <c r="Z13" s="28">
        <f t="shared" si="2"/>
        <v>0</v>
      </c>
      <c r="AA13" s="28">
        <f t="shared" si="2"/>
        <v>0</v>
      </c>
      <c r="AB13" s="28">
        <f t="shared" si="2"/>
        <v>0</v>
      </c>
      <c r="AC13" s="28">
        <f t="shared" si="2"/>
        <v>0</v>
      </c>
      <c r="AD13" s="28">
        <f t="shared" si="2"/>
        <v>0</v>
      </c>
      <c r="AE13" s="28">
        <f t="shared" si="2"/>
        <v>0</v>
      </c>
      <c r="AF13" s="28">
        <f t="shared" si="2"/>
        <v>0</v>
      </c>
      <c r="AG13" s="28">
        <f t="shared" si="2"/>
        <v>0</v>
      </c>
      <c r="AH13" s="28">
        <f t="shared" si="2"/>
        <v>0</v>
      </c>
      <c r="AI13" s="28">
        <f t="shared" si="2"/>
        <v>0</v>
      </c>
      <c r="AJ13" s="28">
        <f t="shared" si="2"/>
        <v>0</v>
      </c>
    </row>
    <row r="14" spans="1:36">
      <c r="A14" t="s">
        <v>20</v>
      </c>
      <c r="B14" s="50" t="s">
        <v>68</v>
      </c>
      <c r="C14" s="28"/>
      <c r="D14" s="28">
        <v>445</v>
      </c>
      <c r="E14" s="28">
        <v>445</v>
      </c>
      <c r="F14" s="28">
        <f>INDEX('[2]Emissions Factors'!$B$3:$H$33,MATCH('[2]1-4.5'!F$2,'[2]Emissions Factors'!$A$3:$A$33,0),MATCH($B14,'[2]Emissions Factors'!$B$2:$H$2,0))</f>
        <v>262.97015258572293</v>
      </c>
      <c r="G14" s="28">
        <f>INDEX('[2]Emissions Factors'!$B$3:$H$33,MATCH('[2]1-4.5'!G$2,'[2]Emissions Factors'!$A$3:$A$33,0),MATCH($B14,'[2]Emissions Factors'!$B$2:$H$2,0))</f>
        <v>200.59092056579323</v>
      </c>
      <c r="H14" s="28">
        <f>INDEX('[2]Emissions Factors'!$B$3:$H$33,MATCH('[2]1-4.5'!H$2,'[2]Emissions Factors'!$A$3:$A$33,0),MATCH($B14,'[2]Emissions Factors'!$B$2:$H$2,0))</f>
        <v>206.34773404709841</v>
      </c>
      <c r="I14" s="28">
        <f>INDEX('[2]Emissions Factors'!$B$3:$H$33,MATCH('[2]1-4.5'!I$2,'[2]Emissions Factors'!$A$3:$A$33,0),MATCH($B14,'[2]Emissions Factors'!$B$2:$H$2,0))</f>
        <v>143.47719557694782</v>
      </c>
      <c r="J14" s="28">
        <f>INDEX('[2]Emissions Factors'!$B$3:$H$33,MATCH('[2]1-4.5'!J$2,'[2]Emissions Factors'!$A$3:$A$33,0),MATCH($B14,'[2]Emissions Factors'!$B$2:$H$2,0))</f>
        <v>143.47719557694782</v>
      </c>
      <c r="K14" s="28">
        <f t="shared" si="5"/>
        <v>230.09888351250757</v>
      </c>
      <c r="L14" s="28">
        <f t="shared" si="3"/>
        <v>218.04608485232859</v>
      </c>
      <c r="M14" s="28">
        <f t="shared" si="3"/>
        <v>205.99328619214964</v>
      </c>
      <c r="N14" s="28">
        <f t="shared" si="3"/>
        <v>193.94048753197072</v>
      </c>
      <c r="O14" s="28">
        <f t="shared" si="3"/>
        <v>181.88768887179174</v>
      </c>
      <c r="P14" s="28">
        <f t="shared" si="3"/>
        <v>169.83489021161276</v>
      </c>
      <c r="Q14" s="28">
        <f t="shared" si="3"/>
        <v>157.78209155143378</v>
      </c>
      <c r="R14" s="28">
        <f t="shared" si="3"/>
        <v>145.7292928912548</v>
      </c>
      <c r="S14" s="28">
        <f t="shared" si="3"/>
        <v>133.67649423107582</v>
      </c>
      <c r="T14" s="28">
        <f t="shared" si="3"/>
        <v>121.62369557089684</v>
      </c>
      <c r="U14" s="28">
        <f t="shared" si="3"/>
        <v>109.57089691071791</v>
      </c>
      <c r="V14" s="28">
        <f t="shared" si="4"/>
        <v>98.613807219646105</v>
      </c>
      <c r="W14" s="28">
        <f t="shared" si="2"/>
        <v>87.656717528574305</v>
      </c>
      <c r="X14" s="28">
        <f t="shared" si="2"/>
        <v>76.699627837502504</v>
      </c>
      <c r="Y14" s="28">
        <f t="shared" si="2"/>
        <v>65.742538146430704</v>
      </c>
      <c r="Z14" s="28">
        <f t="shared" si="2"/>
        <v>54.78544845535891</v>
      </c>
      <c r="AA14" s="28">
        <f t="shared" si="2"/>
        <v>43.82835876428711</v>
      </c>
      <c r="AB14" s="28">
        <f t="shared" si="2"/>
        <v>32.871269073215316</v>
      </c>
      <c r="AC14" s="28">
        <f t="shared" si="2"/>
        <v>21.914179382143516</v>
      </c>
      <c r="AD14" s="28">
        <f t="shared" si="2"/>
        <v>10.957089691071717</v>
      </c>
      <c r="AE14" s="28">
        <f t="shared" si="2"/>
        <v>0</v>
      </c>
      <c r="AF14" s="28">
        <f t="shared" si="2"/>
        <v>0</v>
      </c>
      <c r="AG14" s="28">
        <f t="shared" si="2"/>
        <v>0</v>
      </c>
      <c r="AH14" s="28">
        <f t="shared" si="2"/>
        <v>0</v>
      </c>
      <c r="AI14" s="28">
        <f t="shared" si="2"/>
        <v>0</v>
      </c>
      <c r="AJ14" s="28">
        <f t="shared" si="2"/>
        <v>0</v>
      </c>
    </row>
    <row r="15" spans="1:36">
      <c r="A15" t="s">
        <v>21</v>
      </c>
      <c r="B15" s="50" t="s">
        <v>68</v>
      </c>
      <c r="C15" s="28"/>
      <c r="D15" s="28">
        <v>445</v>
      </c>
      <c r="E15" s="28">
        <v>445</v>
      </c>
      <c r="F15" s="28">
        <f>INDEX('[2]Emissions Factors'!$B$3:$H$33,MATCH('[2]1-4.5'!F$2,'[2]Emissions Factors'!$A$3:$A$33,0),MATCH($B15,'[2]Emissions Factors'!$B$2:$H$2,0))</f>
        <v>262.97015258572293</v>
      </c>
      <c r="G15" s="28">
        <f>INDEX('[2]Emissions Factors'!$B$3:$H$33,MATCH('[2]1-4.5'!G$2,'[2]Emissions Factors'!$A$3:$A$33,0),MATCH($B15,'[2]Emissions Factors'!$B$2:$H$2,0))</f>
        <v>200.59092056579323</v>
      </c>
      <c r="H15" s="28">
        <f>INDEX('[2]Emissions Factors'!$B$3:$H$33,MATCH('[2]1-4.5'!H$2,'[2]Emissions Factors'!$A$3:$A$33,0),MATCH($B15,'[2]Emissions Factors'!$B$2:$H$2,0))</f>
        <v>206.34773404709841</v>
      </c>
      <c r="I15" s="28">
        <f>INDEX('[2]Emissions Factors'!$B$3:$H$33,MATCH('[2]1-4.5'!I$2,'[2]Emissions Factors'!$A$3:$A$33,0),MATCH($B15,'[2]Emissions Factors'!$B$2:$H$2,0))</f>
        <v>143.47719557694782</v>
      </c>
      <c r="J15" s="28">
        <f>INDEX('[2]Emissions Factors'!$B$3:$H$33,MATCH('[2]1-4.5'!J$2,'[2]Emissions Factors'!$A$3:$A$33,0),MATCH($B15,'[2]Emissions Factors'!$B$2:$H$2,0))</f>
        <v>143.47719557694782</v>
      </c>
      <c r="K15" s="28">
        <f t="shared" si="5"/>
        <v>230.09888351250757</v>
      </c>
      <c r="L15" s="28">
        <f t="shared" si="3"/>
        <v>218.04608485232859</v>
      </c>
      <c r="M15" s="28">
        <f t="shared" si="3"/>
        <v>205.99328619214964</v>
      </c>
      <c r="N15" s="28">
        <f t="shared" si="3"/>
        <v>193.94048753197072</v>
      </c>
      <c r="O15" s="28">
        <f t="shared" si="3"/>
        <v>181.88768887179174</v>
      </c>
      <c r="P15" s="28">
        <f t="shared" si="3"/>
        <v>169.83489021161276</v>
      </c>
      <c r="Q15" s="28">
        <f t="shared" si="3"/>
        <v>157.78209155143378</v>
      </c>
      <c r="R15" s="28">
        <f t="shared" si="3"/>
        <v>145.7292928912548</v>
      </c>
      <c r="S15" s="28">
        <f t="shared" si="3"/>
        <v>133.67649423107582</v>
      </c>
      <c r="T15" s="28">
        <f t="shared" si="3"/>
        <v>121.62369557089684</v>
      </c>
      <c r="U15" s="28">
        <f t="shared" si="3"/>
        <v>109.57089691071791</v>
      </c>
      <c r="V15" s="28">
        <f t="shared" si="4"/>
        <v>98.613807219646105</v>
      </c>
      <c r="W15" s="28">
        <f t="shared" si="2"/>
        <v>87.656717528574305</v>
      </c>
      <c r="X15" s="28">
        <f t="shared" si="2"/>
        <v>76.699627837502504</v>
      </c>
      <c r="Y15" s="28">
        <f t="shared" si="2"/>
        <v>65.742538146430704</v>
      </c>
      <c r="Z15" s="28">
        <f t="shared" si="2"/>
        <v>54.78544845535891</v>
      </c>
      <c r="AA15" s="28">
        <f t="shared" si="2"/>
        <v>43.82835876428711</v>
      </c>
      <c r="AB15" s="28">
        <f t="shared" si="2"/>
        <v>32.871269073215316</v>
      </c>
      <c r="AC15" s="28">
        <f t="shared" si="2"/>
        <v>21.914179382143516</v>
      </c>
      <c r="AD15" s="28">
        <f t="shared" si="2"/>
        <v>10.957089691071717</v>
      </c>
      <c r="AE15" s="28">
        <f t="shared" si="2"/>
        <v>0</v>
      </c>
      <c r="AF15" s="28">
        <f t="shared" si="2"/>
        <v>0</v>
      </c>
      <c r="AG15" s="28">
        <f t="shared" si="2"/>
        <v>0</v>
      </c>
      <c r="AH15" s="28">
        <f t="shared" si="2"/>
        <v>0</v>
      </c>
      <c r="AI15" s="28">
        <f t="shared" si="2"/>
        <v>0</v>
      </c>
      <c r="AJ15" s="28">
        <f t="shared" si="2"/>
        <v>0</v>
      </c>
    </row>
    <row r="16" spans="1:36">
      <c r="A16" t="s">
        <v>22</v>
      </c>
      <c r="B16" s="53" t="s">
        <v>70</v>
      </c>
      <c r="C16" s="28">
        <v>1551</v>
      </c>
      <c r="D16" s="28">
        <v>1094</v>
      </c>
      <c r="E16" s="28">
        <v>1094</v>
      </c>
      <c r="F16" s="28">
        <f>INDEX('[2]Emissions Factors'!$B$3:$H$33,MATCH('[2]1-4.5'!F$2,'[2]Emissions Factors'!$A$3:$A$33,0),MATCH($B16,'[2]Emissions Factors'!$B$2:$H$2,0))</f>
        <v>1204.974565252458</v>
      </c>
      <c r="G16" s="28">
        <f>INDEX('[2]Emissions Factors'!$B$3:$H$33,MATCH('[2]1-4.5'!G$2,'[2]Emissions Factors'!$A$3:$A$33,0),MATCH($B16,'[2]Emissions Factors'!$B$2:$H$2,0))</f>
        <v>771.46489914214249</v>
      </c>
      <c r="H16" s="28">
        <f>INDEX('[2]Emissions Factors'!$B$3:$H$33,MATCH('[2]1-4.5'!H$2,'[2]Emissions Factors'!$A$3:$A$33,0),MATCH($B16,'[2]Emissions Factors'!$B$2:$H$2,0))</f>
        <v>722.56296583034521</v>
      </c>
      <c r="I16" s="28">
        <f>INDEX('[2]Emissions Factors'!$B$3:$H$33,MATCH('[2]1-4.5'!I$2,'[2]Emissions Factors'!$A$3:$A$33,0),MATCH($B16,'[2]Emissions Factors'!$B$2:$H$2,0))</f>
        <v>676.88673217958399</v>
      </c>
      <c r="J16" s="28">
        <f>INDEX('[2]Emissions Factors'!$B$3:$H$33,MATCH('[2]1-4.5'!J$2,'[2]Emissions Factors'!$A$3:$A$33,0),MATCH($B16,'[2]Emissions Factors'!$B$2:$H$2,0))</f>
        <v>676.88673217958399</v>
      </c>
      <c r="K16" s="28">
        <f t="shared" si="5"/>
        <v>1009.1661983989335</v>
      </c>
      <c r="L16" s="28">
        <f t="shared" si="3"/>
        <v>941.88845183900457</v>
      </c>
      <c r="M16" s="28">
        <f t="shared" si="3"/>
        <v>874.61070527907577</v>
      </c>
      <c r="N16" s="28">
        <f t="shared" si="3"/>
        <v>807.33295871914686</v>
      </c>
      <c r="O16" s="28">
        <f t="shared" si="3"/>
        <v>740.05521215921806</v>
      </c>
      <c r="P16" s="28">
        <f t="shared" si="3"/>
        <v>672.77746559928914</v>
      </c>
      <c r="Q16" s="28">
        <f t="shared" si="3"/>
        <v>605.49971903936034</v>
      </c>
      <c r="R16" s="28">
        <f t="shared" si="3"/>
        <v>538.22197247943143</v>
      </c>
      <c r="S16" s="28">
        <f t="shared" si="3"/>
        <v>470.94422591950263</v>
      </c>
      <c r="T16" s="28">
        <f t="shared" si="3"/>
        <v>403.66647935957377</v>
      </c>
      <c r="U16" s="28">
        <f t="shared" si="3"/>
        <v>336.38873279964491</v>
      </c>
      <c r="V16" s="28">
        <f t="shared" si="4"/>
        <v>269.11098623971588</v>
      </c>
      <c r="W16" s="28">
        <f t="shared" si="2"/>
        <v>201.83323967978689</v>
      </c>
      <c r="X16" s="28">
        <f t="shared" si="2"/>
        <v>134.55549311985786</v>
      </c>
      <c r="Y16" s="28">
        <f t="shared" si="2"/>
        <v>67.277746559928858</v>
      </c>
      <c r="Z16" s="28">
        <f t="shared" si="2"/>
        <v>0</v>
      </c>
      <c r="AA16" s="28">
        <f t="shared" si="2"/>
        <v>0</v>
      </c>
      <c r="AB16" s="28">
        <f t="shared" si="2"/>
        <v>0</v>
      </c>
      <c r="AC16" s="28">
        <f t="shared" si="2"/>
        <v>0</v>
      </c>
      <c r="AD16" s="28">
        <f t="shared" si="2"/>
        <v>0</v>
      </c>
      <c r="AE16" s="28">
        <f t="shared" si="2"/>
        <v>0</v>
      </c>
      <c r="AF16" s="28">
        <f t="shared" si="2"/>
        <v>0</v>
      </c>
      <c r="AG16" s="28">
        <f t="shared" si="2"/>
        <v>0</v>
      </c>
      <c r="AH16" s="28">
        <f t="shared" si="2"/>
        <v>0</v>
      </c>
      <c r="AI16" s="28">
        <f t="shared" si="2"/>
        <v>0</v>
      </c>
      <c r="AJ16" s="28">
        <f t="shared" si="2"/>
        <v>0</v>
      </c>
    </row>
    <row r="17" spans="1:36">
      <c r="A17" t="s">
        <v>23</v>
      </c>
      <c r="B17" s="52" t="s">
        <v>69</v>
      </c>
      <c r="C17" s="28">
        <v>1067.13435147528</v>
      </c>
      <c r="D17" s="28">
        <v>501.21389750475788</v>
      </c>
      <c r="E17" s="28">
        <v>501.21389750475788</v>
      </c>
      <c r="F17" s="28">
        <f>INDEX('[2]Emissions Factors'!$B$3:$H$33,MATCH('[2]1-4.5'!F$2,'[2]Emissions Factors'!$A$3:$A$33,0),MATCH($B17,'[2]Emissions Factors'!$B$2:$H$2,0))</f>
        <v>376.32489403924421</v>
      </c>
      <c r="G17" s="28">
        <f>INDEX('[2]Emissions Factors'!$B$3:$H$33,MATCH('[2]1-4.5'!G$2,'[2]Emissions Factors'!$A$3:$A$33,0),MATCH($B17,'[2]Emissions Factors'!$B$2:$H$2,0))</f>
        <v>347.32927927997497</v>
      </c>
      <c r="H17" s="28">
        <f>INDEX('[2]Emissions Factors'!$B$3:$H$33,MATCH('[2]1-4.5'!H$2,'[2]Emissions Factors'!$A$3:$A$33,0),MATCH($B17,'[2]Emissions Factors'!$B$2:$H$2,0))</f>
        <v>314.49746412610199</v>
      </c>
      <c r="I17" s="28">
        <f>INDEX('[2]Emissions Factors'!$B$3:$H$33,MATCH('[2]1-4.5'!I$2,'[2]Emissions Factors'!$A$3:$A$33,0),MATCH($B17,'[2]Emissions Factors'!$B$2:$H$2,0))</f>
        <v>345.49459306875832</v>
      </c>
      <c r="J17" s="28">
        <f>INDEX('[2]Emissions Factors'!$B$3:$H$33,MATCH('[2]1-4.5'!J$2,'[2]Emissions Factors'!$A$3:$A$33,0),MATCH($B17,'[2]Emissions Factors'!$B$2:$H$2,0))</f>
        <v>345.49459306875832</v>
      </c>
      <c r="K17" s="28">
        <f t="shared" si="5"/>
        <v>309.19402101401448</v>
      </c>
      <c r="L17" s="28">
        <f t="shared" si="3"/>
        <v>297.87487381049033</v>
      </c>
      <c r="M17" s="28">
        <f t="shared" si="3"/>
        <v>286.55572660696618</v>
      </c>
      <c r="N17" s="28">
        <f t="shared" si="3"/>
        <v>275.23657940344202</v>
      </c>
      <c r="O17" s="28">
        <f t="shared" si="3"/>
        <v>263.91743219991787</v>
      </c>
      <c r="P17" s="28">
        <f t="shared" si="3"/>
        <v>252.59828499639372</v>
      </c>
      <c r="Q17" s="28">
        <f t="shared" si="3"/>
        <v>241.27913779286956</v>
      </c>
      <c r="R17" s="28">
        <f t="shared" si="3"/>
        <v>229.95999058934544</v>
      </c>
      <c r="S17" s="28">
        <f t="shared" si="3"/>
        <v>218.64084338582128</v>
      </c>
      <c r="T17" s="28">
        <f t="shared" si="3"/>
        <v>207.32169618229713</v>
      </c>
      <c r="U17" s="28">
        <f t="shared" si="3"/>
        <v>196.00254897877304</v>
      </c>
      <c r="V17" s="28">
        <f t="shared" si="4"/>
        <v>182.93571238018819</v>
      </c>
      <c r="W17" s="28">
        <f t="shared" si="2"/>
        <v>169.86887578160335</v>
      </c>
      <c r="X17" s="28">
        <f t="shared" si="2"/>
        <v>156.80203918301851</v>
      </c>
      <c r="Y17" s="28">
        <f t="shared" si="2"/>
        <v>143.73520258443367</v>
      </c>
      <c r="Z17" s="28">
        <f t="shared" si="2"/>
        <v>130.66836598584882</v>
      </c>
      <c r="AA17" s="28">
        <f t="shared" si="2"/>
        <v>117.60152938726398</v>
      </c>
      <c r="AB17" s="28">
        <f t="shared" si="2"/>
        <v>104.53469278867914</v>
      </c>
      <c r="AC17" s="28">
        <f t="shared" si="2"/>
        <v>91.467856190094295</v>
      </c>
      <c r="AD17" s="28">
        <f t="shared" si="2"/>
        <v>78.401019591509439</v>
      </c>
      <c r="AE17" s="28">
        <f t="shared" si="2"/>
        <v>65.334182992924596</v>
      </c>
      <c r="AF17" s="28">
        <f t="shared" si="2"/>
        <v>52.267346394339754</v>
      </c>
      <c r="AG17" s="28">
        <f t="shared" si="2"/>
        <v>39.200509795754911</v>
      </c>
      <c r="AH17" s="28">
        <f t="shared" si="2"/>
        <v>26.133673197170069</v>
      </c>
      <c r="AI17" s="28">
        <f t="shared" si="2"/>
        <v>13.066836598585224</v>
      </c>
      <c r="AJ17" s="28">
        <f t="shared" si="2"/>
        <v>0</v>
      </c>
    </row>
    <row r="18" spans="1:36">
      <c r="A18" t="s">
        <v>24</v>
      </c>
      <c r="B18" s="54" t="s">
        <v>73</v>
      </c>
      <c r="C18" s="28">
        <v>853</v>
      </c>
      <c r="D18" s="28">
        <v>626.11282408</v>
      </c>
      <c r="E18" s="28">
        <v>626.11282408</v>
      </c>
      <c r="F18" s="28">
        <f>INDEX('[2]Emissions Factors'!$B$3:$H$33,MATCH('[2]1-4.5'!F$2,'[2]Emissions Factors'!$A$3:$A$33,0),MATCH($B18,'[2]Emissions Factors'!$B$2:$H$2,0))</f>
        <v>554.27816156110168</v>
      </c>
      <c r="G18" s="28">
        <f>INDEX('[2]Emissions Factors'!$B$3:$H$33,MATCH('[2]1-4.5'!G$2,'[2]Emissions Factors'!$A$3:$A$33,0),MATCH($B18,'[2]Emissions Factors'!$B$2:$H$2,0))</f>
        <v>363.93269800935997</v>
      </c>
      <c r="H18" s="28">
        <f>INDEX('[2]Emissions Factors'!$B$3:$H$33,MATCH('[2]1-4.5'!H$2,'[2]Emissions Factors'!$A$3:$A$33,0),MATCH($B18,'[2]Emissions Factors'!$B$2:$H$2,0))</f>
        <v>330.84385392366971</v>
      </c>
      <c r="I18" s="28">
        <f>INDEX('[2]Emissions Factors'!$B$3:$H$33,MATCH('[2]1-4.5'!I$2,'[2]Emissions Factors'!$A$3:$A$33,0),MATCH($B18,'[2]Emissions Factors'!$B$2:$H$2,0))</f>
        <v>512.3701536118981</v>
      </c>
      <c r="J18" s="28">
        <f>INDEX('[2]Emissions Factors'!$B$3:$H$33,MATCH('[2]1-4.5'!J$2,'[2]Emissions Factors'!$A$3:$A$33,0),MATCH($B18,'[2]Emissions Factors'!$B$2:$H$2,0))</f>
        <v>512.3701536118981</v>
      </c>
      <c r="K18" s="28">
        <f t="shared" si="5"/>
        <v>459.46742339933428</v>
      </c>
      <c r="L18" s="28">
        <f t="shared" si="3"/>
        <v>413.52068105940077</v>
      </c>
      <c r="M18" s="28">
        <f t="shared" si="3"/>
        <v>367.57393871946744</v>
      </c>
      <c r="N18" s="28">
        <f t="shared" si="3"/>
        <v>321.62719637953404</v>
      </c>
      <c r="O18" s="28">
        <f t="shared" si="3"/>
        <v>275.68045403960065</v>
      </c>
      <c r="P18" s="28">
        <f t="shared" si="3"/>
        <v>229.73371169966725</v>
      </c>
      <c r="Q18" s="28">
        <f t="shared" si="3"/>
        <v>183.78696935973386</v>
      </c>
      <c r="R18" s="28">
        <f t="shared" si="3"/>
        <v>137.84022701980049</v>
      </c>
      <c r="S18" s="28">
        <f t="shared" si="3"/>
        <v>91.8934846798671</v>
      </c>
      <c r="T18" s="28">
        <f t="shared" si="3"/>
        <v>45.946742339933714</v>
      </c>
      <c r="U18" s="28">
        <f t="shared" si="3"/>
        <v>0</v>
      </c>
      <c r="V18" s="28">
        <f t="shared" si="4"/>
        <v>0</v>
      </c>
      <c r="W18" s="28">
        <f t="shared" si="2"/>
        <v>0</v>
      </c>
      <c r="X18" s="28">
        <f t="shared" si="2"/>
        <v>0</v>
      </c>
      <c r="Y18" s="28">
        <f t="shared" si="2"/>
        <v>0</v>
      </c>
      <c r="Z18" s="28">
        <f t="shared" si="2"/>
        <v>0</v>
      </c>
      <c r="AA18" s="28">
        <f t="shared" si="2"/>
        <v>0</v>
      </c>
      <c r="AB18" s="28">
        <f t="shared" si="2"/>
        <v>0</v>
      </c>
      <c r="AC18" s="28">
        <f t="shared" si="2"/>
        <v>0</v>
      </c>
      <c r="AD18" s="28">
        <f t="shared" si="2"/>
        <v>0</v>
      </c>
      <c r="AE18" s="28">
        <f t="shared" si="2"/>
        <v>0</v>
      </c>
      <c r="AF18" s="28">
        <f t="shared" si="2"/>
        <v>0</v>
      </c>
      <c r="AG18" s="28">
        <f t="shared" si="2"/>
        <v>0</v>
      </c>
      <c r="AH18" s="28">
        <f t="shared" si="2"/>
        <v>0</v>
      </c>
      <c r="AI18" s="28">
        <f t="shared" si="2"/>
        <v>0</v>
      </c>
      <c r="AJ18" s="28">
        <f t="shared" si="2"/>
        <v>0</v>
      </c>
    </row>
    <row r="19" spans="1:36">
      <c r="A19" t="s">
        <v>25</v>
      </c>
      <c r="B19" s="49" t="s">
        <v>67</v>
      </c>
      <c r="C19" s="28">
        <v>1067.13435147528</v>
      </c>
      <c r="D19" s="28">
        <v>528.71613442157673</v>
      </c>
      <c r="E19" s="28">
        <v>528.71613442157673</v>
      </c>
      <c r="F19" s="28">
        <f>INDEX('[2]Emissions Factors'!$B$3:$H$33,MATCH('[2]1-4.5'!F$2,'[2]Emissions Factors'!$A$3:$A$33,0),MATCH($B19,'[2]Emissions Factors'!$B$2:$H$2,0))</f>
        <v>333.29430943040865</v>
      </c>
      <c r="G19" s="28">
        <f>INDEX('[2]Emissions Factors'!$B$3:$H$33,MATCH('[2]1-4.5'!G$2,'[2]Emissions Factors'!$A$3:$A$33,0),MATCH($B19,'[2]Emissions Factors'!$B$2:$H$2,0))</f>
        <v>294.64697289492551</v>
      </c>
      <c r="H19" s="28">
        <f>INDEX('[2]Emissions Factors'!$B$3:$H$33,MATCH('[2]1-4.5'!H$2,'[2]Emissions Factors'!$A$3:$A$33,0),MATCH($B19,'[2]Emissions Factors'!$B$2:$H$2,0))</f>
        <v>404.02383185580527</v>
      </c>
      <c r="I19" s="28">
        <f>INDEX('[2]Emissions Factors'!$B$3:$H$33,MATCH('[2]1-4.5'!I$2,'[2]Emissions Factors'!$A$3:$A$33,0),MATCH($B19,'[2]Emissions Factors'!$B$2:$H$2,0))</f>
        <v>518.9757072038999</v>
      </c>
      <c r="J19" s="28">
        <f>INDEX('[2]Emissions Factors'!$B$3:$H$33,MATCH('[2]1-4.5'!J$2,'[2]Emissions Factors'!$A$3:$A$33,0),MATCH($B19,'[2]Emissions Factors'!$B$2:$H$2,0))</f>
        <v>518.9757072038999</v>
      </c>
      <c r="K19" s="28">
        <f t="shared" si="5"/>
        <v>286.4247971667574</v>
      </c>
      <c r="L19" s="28">
        <f t="shared" si="3"/>
        <v>278.61321178948214</v>
      </c>
      <c r="M19" s="28">
        <f t="shared" si="3"/>
        <v>270.80162641220699</v>
      </c>
      <c r="N19" s="28">
        <f t="shared" si="3"/>
        <v>262.99004103493172</v>
      </c>
      <c r="O19" s="28">
        <f t="shared" si="3"/>
        <v>255.1784556576566</v>
      </c>
      <c r="P19" s="28">
        <f t="shared" si="3"/>
        <v>247.36687028038139</v>
      </c>
      <c r="Q19" s="28">
        <f t="shared" si="3"/>
        <v>239.55528490310618</v>
      </c>
      <c r="R19" s="28">
        <f t="shared" si="3"/>
        <v>231.74369952583098</v>
      </c>
      <c r="S19" s="28">
        <f t="shared" si="3"/>
        <v>223.93211414855574</v>
      </c>
      <c r="T19" s="28">
        <f t="shared" si="3"/>
        <v>216.12052877128053</v>
      </c>
      <c r="U19" s="28">
        <f t="shared" si="3"/>
        <v>208.30894339400538</v>
      </c>
      <c r="V19" s="28">
        <f t="shared" si="4"/>
        <v>194.42168050107173</v>
      </c>
      <c r="W19" s="28">
        <f t="shared" si="4"/>
        <v>180.53441760813806</v>
      </c>
      <c r="X19" s="28">
        <f t="shared" si="4"/>
        <v>166.64715471520441</v>
      </c>
      <c r="Y19" s="28">
        <f t="shared" si="4"/>
        <v>152.75989182227073</v>
      </c>
      <c r="Z19" s="28">
        <f t="shared" si="4"/>
        <v>138.87262892933705</v>
      </c>
      <c r="AA19" s="28">
        <f t="shared" si="4"/>
        <v>124.98536603640339</v>
      </c>
      <c r="AB19" s="28">
        <f t="shared" si="4"/>
        <v>111.09810314346973</v>
      </c>
      <c r="AC19" s="28">
        <f t="shared" si="4"/>
        <v>97.210840250536066</v>
      </c>
      <c r="AD19" s="28">
        <f t="shared" si="4"/>
        <v>83.323577357602403</v>
      </c>
      <c r="AE19" s="28">
        <f t="shared" si="4"/>
        <v>69.43631446466874</v>
      </c>
      <c r="AF19" s="28">
        <f t="shared" si="4"/>
        <v>55.54905157173507</v>
      </c>
      <c r="AG19" s="28">
        <f t="shared" si="4"/>
        <v>41.6617886788014</v>
      </c>
      <c r="AH19" s="28">
        <f t="shared" si="4"/>
        <v>27.774525785867738</v>
      </c>
      <c r="AI19" s="28">
        <f t="shared" si="4"/>
        <v>13.887262892934071</v>
      </c>
      <c r="AJ19" s="28">
        <f t="shared" si="4"/>
        <v>0</v>
      </c>
    </row>
    <row r="20" spans="1:36">
      <c r="A20" t="s">
        <v>26</v>
      </c>
      <c r="B20" s="49" t="s">
        <v>67</v>
      </c>
      <c r="C20" s="28">
        <v>1067.13435147528</v>
      </c>
      <c r="D20" s="28">
        <v>528.71613442157673</v>
      </c>
      <c r="E20" s="28">
        <v>528.71613442157673</v>
      </c>
      <c r="F20" s="28">
        <f>INDEX('[2]Emissions Factors'!$B$3:$H$33,MATCH('[2]1-4.5'!F$2,'[2]Emissions Factors'!$A$3:$A$33,0),MATCH($B20,'[2]Emissions Factors'!$B$2:$H$2,0))</f>
        <v>333.29430943040865</v>
      </c>
      <c r="G20" s="28">
        <f>INDEX('[2]Emissions Factors'!$B$3:$H$33,MATCH('[2]1-4.5'!G$2,'[2]Emissions Factors'!$A$3:$A$33,0),MATCH($B20,'[2]Emissions Factors'!$B$2:$H$2,0))</f>
        <v>294.64697289492551</v>
      </c>
      <c r="H20" s="28">
        <f>INDEX('[2]Emissions Factors'!$B$3:$H$33,MATCH('[2]1-4.5'!H$2,'[2]Emissions Factors'!$A$3:$A$33,0),MATCH($B20,'[2]Emissions Factors'!$B$2:$H$2,0))</f>
        <v>404.02383185580527</v>
      </c>
      <c r="I20" s="28">
        <f>INDEX('[2]Emissions Factors'!$B$3:$H$33,MATCH('[2]1-4.5'!I$2,'[2]Emissions Factors'!$A$3:$A$33,0),MATCH($B20,'[2]Emissions Factors'!$B$2:$H$2,0))</f>
        <v>518.9757072038999</v>
      </c>
      <c r="J20" s="28">
        <f>INDEX('[2]Emissions Factors'!$B$3:$H$33,MATCH('[2]1-4.5'!J$2,'[2]Emissions Factors'!$A$3:$A$33,0),MATCH($B20,'[2]Emissions Factors'!$B$2:$H$2,0))</f>
        <v>518.9757072038999</v>
      </c>
      <c r="K20" s="28">
        <f t="shared" si="5"/>
        <v>286.4247971667574</v>
      </c>
      <c r="L20" s="28">
        <f t="shared" si="3"/>
        <v>278.61321178948214</v>
      </c>
      <c r="M20" s="28">
        <f t="shared" si="3"/>
        <v>270.80162641220699</v>
      </c>
      <c r="N20" s="28">
        <f t="shared" si="3"/>
        <v>262.99004103493172</v>
      </c>
      <c r="O20" s="28">
        <f t="shared" si="3"/>
        <v>255.1784556576566</v>
      </c>
      <c r="P20" s="28">
        <f t="shared" si="3"/>
        <v>247.36687028038139</v>
      </c>
      <c r="Q20" s="28">
        <f t="shared" si="3"/>
        <v>239.55528490310618</v>
      </c>
      <c r="R20" s="28">
        <f t="shared" si="3"/>
        <v>231.74369952583098</v>
      </c>
      <c r="S20" s="28">
        <f t="shared" si="3"/>
        <v>223.93211414855574</v>
      </c>
      <c r="T20" s="28">
        <f t="shared" si="3"/>
        <v>216.12052877128053</v>
      </c>
      <c r="U20" s="28">
        <f t="shared" si="3"/>
        <v>208.30894339400538</v>
      </c>
      <c r="V20" s="28">
        <f t="shared" si="4"/>
        <v>194.42168050107173</v>
      </c>
      <c r="W20" s="28">
        <f t="shared" si="4"/>
        <v>180.53441760813806</v>
      </c>
      <c r="X20" s="28">
        <f t="shared" si="4"/>
        <v>166.64715471520441</v>
      </c>
      <c r="Y20" s="28">
        <f t="shared" si="4"/>
        <v>152.75989182227073</v>
      </c>
      <c r="Z20" s="28">
        <f t="shared" si="4"/>
        <v>138.87262892933705</v>
      </c>
      <c r="AA20" s="28">
        <f t="shared" si="4"/>
        <v>124.98536603640339</v>
      </c>
      <c r="AB20" s="28">
        <f t="shared" si="4"/>
        <v>111.09810314346973</v>
      </c>
      <c r="AC20" s="28">
        <f t="shared" si="4"/>
        <v>97.210840250536066</v>
      </c>
      <c r="AD20" s="28">
        <f t="shared" si="4"/>
        <v>83.323577357602403</v>
      </c>
      <c r="AE20" s="28">
        <f t="shared" si="4"/>
        <v>69.43631446466874</v>
      </c>
      <c r="AF20" s="28">
        <f t="shared" si="4"/>
        <v>55.54905157173507</v>
      </c>
      <c r="AG20" s="28">
        <f t="shared" si="4"/>
        <v>41.6617886788014</v>
      </c>
      <c r="AH20" s="28">
        <f t="shared" si="4"/>
        <v>27.774525785867738</v>
      </c>
      <c r="AI20" s="28">
        <f t="shared" si="4"/>
        <v>13.887262892934071</v>
      </c>
      <c r="AJ20" s="28">
        <f t="shared" si="4"/>
        <v>0</v>
      </c>
    </row>
    <row r="21" spans="1:36">
      <c r="A21" t="s">
        <v>27</v>
      </c>
      <c r="B21" s="49" t="s">
        <v>67</v>
      </c>
      <c r="C21" s="28">
        <v>565.90458032780009</v>
      </c>
      <c r="D21" s="28">
        <v>528.71613442157673</v>
      </c>
      <c r="E21" s="28">
        <v>528.71613442157673</v>
      </c>
      <c r="F21" s="28">
        <f>INDEX('[2]Emissions Factors'!$B$3:$H$33,MATCH('[2]1-4.5'!F$2,'[2]Emissions Factors'!$A$3:$A$33,0),MATCH($B21,'[2]Emissions Factors'!$B$2:$H$2,0))</f>
        <v>333.29430943040865</v>
      </c>
      <c r="G21" s="28">
        <f>INDEX('[2]Emissions Factors'!$B$3:$H$33,MATCH('[2]1-4.5'!G$2,'[2]Emissions Factors'!$A$3:$A$33,0),MATCH($B21,'[2]Emissions Factors'!$B$2:$H$2,0))</f>
        <v>294.64697289492551</v>
      </c>
      <c r="H21" s="28">
        <f>INDEX('[2]Emissions Factors'!$B$3:$H$33,MATCH('[2]1-4.5'!H$2,'[2]Emissions Factors'!$A$3:$A$33,0),MATCH($B21,'[2]Emissions Factors'!$B$2:$H$2,0))</f>
        <v>404.02383185580527</v>
      </c>
      <c r="I21" s="28">
        <f>INDEX('[2]Emissions Factors'!$B$3:$H$33,MATCH('[2]1-4.5'!I$2,'[2]Emissions Factors'!$A$3:$A$33,0),MATCH($B21,'[2]Emissions Factors'!$B$2:$H$2,0))</f>
        <v>518.9757072038999</v>
      </c>
      <c r="J21" s="28">
        <f>INDEX('[2]Emissions Factors'!$B$3:$H$33,MATCH('[2]1-4.5'!J$2,'[2]Emissions Factors'!$A$3:$A$33,0),MATCH($B21,'[2]Emissions Factors'!$B$2:$H$2,0))</f>
        <v>518.9757072038999</v>
      </c>
      <c r="K21" s="28">
        <f t="shared" si="5"/>
        <v>286.4247971667574</v>
      </c>
      <c r="L21" s="28">
        <f t="shared" si="3"/>
        <v>278.61321178948214</v>
      </c>
      <c r="M21" s="28">
        <f t="shared" si="3"/>
        <v>270.80162641220699</v>
      </c>
      <c r="N21" s="28">
        <f t="shared" si="3"/>
        <v>262.99004103493172</v>
      </c>
      <c r="O21" s="28">
        <f t="shared" si="3"/>
        <v>255.1784556576566</v>
      </c>
      <c r="P21" s="28">
        <f t="shared" si="3"/>
        <v>247.36687028038139</v>
      </c>
      <c r="Q21" s="28">
        <f t="shared" si="3"/>
        <v>239.55528490310618</v>
      </c>
      <c r="R21" s="28">
        <f t="shared" si="3"/>
        <v>231.74369952583098</v>
      </c>
      <c r="S21" s="28">
        <f t="shared" si="3"/>
        <v>223.93211414855574</v>
      </c>
      <c r="T21" s="28">
        <f t="shared" si="3"/>
        <v>216.12052877128053</v>
      </c>
      <c r="U21" s="28">
        <f t="shared" si="3"/>
        <v>208.30894339400538</v>
      </c>
      <c r="V21" s="28">
        <f t="shared" si="4"/>
        <v>194.42168050107173</v>
      </c>
      <c r="W21" s="28">
        <f t="shared" si="4"/>
        <v>180.53441760813806</v>
      </c>
      <c r="X21" s="28">
        <f t="shared" si="4"/>
        <v>166.64715471520441</v>
      </c>
      <c r="Y21" s="28">
        <f t="shared" si="4"/>
        <v>152.75989182227073</v>
      </c>
      <c r="Z21" s="28">
        <f t="shared" si="4"/>
        <v>138.87262892933705</v>
      </c>
      <c r="AA21" s="28">
        <f t="shared" si="4"/>
        <v>124.98536603640339</v>
      </c>
      <c r="AB21" s="28">
        <f t="shared" si="4"/>
        <v>111.09810314346973</v>
      </c>
      <c r="AC21" s="28">
        <f t="shared" si="4"/>
        <v>97.210840250536066</v>
      </c>
      <c r="AD21" s="28">
        <f t="shared" si="4"/>
        <v>83.323577357602403</v>
      </c>
      <c r="AE21" s="28">
        <f t="shared" si="4"/>
        <v>69.43631446466874</v>
      </c>
      <c r="AF21" s="28">
        <f t="shared" si="4"/>
        <v>55.54905157173507</v>
      </c>
      <c r="AG21" s="28">
        <f t="shared" si="4"/>
        <v>41.6617886788014</v>
      </c>
      <c r="AH21" s="28">
        <f t="shared" si="4"/>
        <v>27.774525785867738</v>
      </c>
      <c r="AI21" s="28">
        <f t="shared" si="4"/>
        <v>13.887262892934071</v>
      </c>
      <c r="AJ21" s="28">
        <f t="shared" si="4"/>
        <v>0</v>
      </c>
    </row>
    <row r="22" spans="1:36">
      <c r="A22" t="s">
        <v>28</v>
      </c>
      <c r="B22" s="50" t="s">
        <v>68</v>
      </c>
      <c r="C22" s="28">
        <v>565.90458032780009</v>
      </c>
      <c r="D22" s="28">
        <v>445</v>
      </c>
      <c r="E22" s="28">
        <v>445</v>
      </c>
      <c r="F22" s="28">
        <f>INDEX('[2]Emissions Factors'!$B$3:$H$33,MATCH('[2]1-4.5'!F$2,'[2]Emissions Factors'!$A$3:$A$33,0),MATCH($B22,'[2]Emissions Factors'!$B$2:$H$2,0))</f>
        <v>262.97015258572293</v>
      </c>
      <c r="G22" s="28">
        <f>INDEX('[2]Emissions Factors'!$B$3:$H$33,MATCH('[2]1-4.5'!G$2,'[2]Emissions Factors'!$A$3:$A$33,0),MATCH($B22,'[2]Emissions Factors'!$B$2:$H$2,0))</f>
        <v>200.59092056579323</v>
      </c>
      <c r="H22" s="28">
        <f>INDEX('[2]Emissions Factors'!$B$3:$H$33,MATCH('[2]1-4.5'!H$2,'[2]Emissions Factors'!$A$3:$A$33,0),MATCH($B22,'[2]Emissions Factors'!$B$2:$H$2,0))</f>
        <v>206.34773404709841</v>
      </c>
      <c r="I22" s="28">
        <f>INDEX('[2]Emissions Factors'!$B$3:$H$33,MATCH('[2]1-4.5'!I$2,'[2]Emissions Factors'!$A$3:$A$33,0),MATCH($B22,'[2]Emissions Factors'!$B$2:$H$2,0))</f>
        <v>143.47719557694782</v>
      </c>
      <c r="J22" s="28">
        <f>INDEX('[2]Emissions Factors'!$B$3:$H$33,MATCH('[2]1-4.5'!J$2,'[2]Emissions Factors'!$A$3:$A$33,0),MATCH($B22,'[2]Emissions Factors'!$B$2:$H$2,0))</f>
        <v>143.47719557694782</v>
      </c>
      <c r="K22" s="28">
        <f t="shared" si="5"/>
        <v>230.09888351250757</v>
      </c>
      <c r="L22" s="28">
        <f t="shared" si="3"/>
        <v>218.04608485232859</v>
      </c>
      <c r="M22" s="28">
        <f t="shared" si="3"/>
        <v>205.99328619214964</v>
      </c>
      <c r="N22" s="28">
        <f t="shared" si="3"/>
        <v>193.94048753197072</v>
      </c>
      <c r="O22" s="28">
        <f t="shared" si="3"/>
        <v>181.88768887179174</v>
      </c>
      <c r="P22" s="28">
        <f t="shared" si="3"/>
        <v>169.83489021161276</v>
      </c>
      <c r="Q22" s="28">
        <f t="shared" si="3"/>
        <v>157.78209155143378</v>
      </c>
      <c r="R22" s="28">
        <f t="shared" si="3"/>
        <v>145.7292928912548</v>
      </c>
      <c r="S22" s="28">
        <f t="shared" si="3"/>
        <v>133.67649423107582</v>
      </c>
      <c r="T22" s="28">
        <f t="shared" si="3"/>
        <v>121.62369557089684</v>
      </c>
      <c r="U22" s="28">
        <f t="shared" si="3"/>
        <v>109.57089691071791</v>
      </c>
      <c r="V22" s="28">
        <f t="shared" si="4"/>
        <v>98.613807219646105</v>
      </c>
      <c r="W22" s="28">
        <f t="shared" si="4"/>
        <v>87.656717528574305</v>
      </c>
      <c r="X22" s="28">
        <f t="shared" si="4"/>
        <v>76.699627837502504</v>
      </c>
      <c r="Y22" s="28">
        <f t="shared" si="4"/>
        <v>65.742538146430704</v>
      </c>
      <c r="Z22" s="28">
        <f t="shared" si="4"/>
        <v>54.78544845535891</v>
      </c>
      <c r="AA22" s="28">
        <f t="shared" si="4"/>
        <v>43.82835876428711</v>
      </c>
      <c r="AB22" s="28">
        <f t="shared" si="4"/>
        <v>32.871269073215316</v>
      </c>
      <c r="AC22" s="28">
        <f t="shared" si="4"/>
        <v>21.914179382143516</v>
      </c>
      <c r="AD22" s="28">
        <f t="shared" si="4"/>
        <v>10.957089691071717</v>
      </c>
      <c r="AE22" s="28">
        <f t="shared" si="4"/>
        <v>0</v>
      </c>
      <c r="AF22" s="28">
        <f t="shared" si="4"/>
        <v>0</v>
      </c>
      <c r="AG22" s="28">
        <f t="shared" si="4"/>
        <v>0</v>
      </c>
      <c r="AH22" s="28">
        <f t="shared" si="4"/>
        <v>0</v>
      </c>
      <c r="AI22" s="28">
        <f t="shared" si="4"/>
        <v>0</v>
      </c>
      <c r="AJ22" s="28">
        <f t="shared" si="4"/>
        <v>0</v>
      </c>
    </row>
    <row r="23" spans="1:36">
      <c r="A23" t="s">
        <v>29</v>
      </c>
      <c r="B23" s="50" t="s">
        <v>68</v>
      </c>
      <c r="C23" s="28">
        <v>565.90458032780009</v>
      </c>
      <c r="D23" s="28">
        <v>445</v>
      </c>
      <c r="E23" s="28">
        <v>445</v>
      </c>
      <c r="F23" s="28">
        <f>INDEX('[2]Emissions Factors'!$B$3:$H$33,MATCH('[2]1-4.5'!F$2,'[2]Emissions Factors'!$A$3:$A$33,0),MATCH($B23,'[2]Emissions Factors'!$B$2:$H$2,0))</f>
        <v>262.97015258572293</v>
      </c>
      <c r="G23" s="28">
        <f>INDEX('[2]Emissions Factors'!$B$3:$H$33,MATCH('[2]1-4.5'!G$2,'[2]Emissions Factors'!$A$3:$A$33,0),MATCH($B23,'[2]Emissions Factors'!$B$2:$H$2,0))</f>
        <v>200.59092056579323</v>
      </c>
      <c r="H23" s="28">
        <f>INDEX('[2]Emissions Factors'!$B$3:$H$33,MATCH('[2]1-4.5'!H$2,'[2]Emissions Factors'!$A$3:$A$33,0),MATCH($B23,'[2]Emissions Factors'!$B$2:$H$2,0))</f>
        <v>206.34773404709841</v>
      </c>
      <c r="I23" s="28">
        <f>INDEX('[2]Emissions Factors'!$B$3:$H$33,MATCH('[2]1-4.5'!I$2,'[2]Emissions Factors'!$A$3:$A$33,0),MATCH($B23,'[2]Emissions Factors'!$B$2:$H$2,0))</f>
        <v>143.47719557694782</v>
      </c>
      <c r="J23" s="28">
        <f>INDEX('[2]Emissions Factors'!$B$3:$H$33,MATCH('[2]1-4.5'!J$2,'[2]Emissions Factors'!$A$3:$A$33,0),MATCH($B23,'[2]Emissions Factors'!$B$2:$H$2,0))</f>
        <v>143.47719557694782</v>
      </c>
      <c r="K23" s="28">
        <f t="shared" si="5"/>
        <v>230.09888351250757</v>
      </c>
      <c r="L23" s="28">
        <f t="shared" si="3"/>
        <v>218.04608485232859</v>
      </c>
      <c r="M23" s="28">
        <f t="shared" si="3"/>
        <v>205.99328619214964</v>
      </c>
      <c r="N23" s="28">
        <f t="shared" si="3"/>
        <v>193.94048753197072</v>
      </c>
      <c r="O23" s="28">
        <f t="shared" si="3"/>
        <v>181.88768887179174</v>
      </c>
      <c r="P23" s="28">
        <f t="shared" si="3"/>
        <v>169.83489021161276</v>
      </c>
      <c r="Q23" s="28">
        <f t="shared" si="3"/>
        <v>157.78209155143378</v>
      </c>
      <c r="R23" s="28">
        <f t="shared" si="3"/>
        <v>145.7292928912548</v>
      </c>
      <c r="S23" s="28">
        <f t="shared" si="3"/>
        <v>133.67649423107582</v>
      </c>
      <c r="T23" s="28">
        <f t="shared" si="3"/>
        <v>121.62369557089684</v>
      </c>
      <c r="U23" s="28">
        <f t="shared" si="3"/>
        <v>109.57089691071791</v>
      </c>
      <c r="V23" s="28">
        <f t="shared" si="4"/>
        <v>98.613807219646105</v>
      </c>
      <c r="W23" s="28">
        <f t="shared" si="4"/>
        <v>87.656717528574305</v>
      </c>
      <c r="X23" s="28">
        <f t="shared" si="4"/>
        <v>76.699627837502504</v>
      </c>
      <c r="Y23" s="28">
        <f t="shared" si="4"/>
        <v>65.742538146430704</v>
      </c>
      <c r="Z23" s="28">
        <f t="shared" si="4"/>
        <v>54.78544845535891</v>
      </c>
      <c r="AA23" s="28">
        <f t="shared" si="4"/>
        <v>43.82835876428711</v>
      </c>
      <c r="AB23" s="28">
        <f t="shared" si="4"/>
        <v>32.871269073215316</v>
      </c>
      <c r="AC23" s="28">
        <f t="shared" si="4"/>
        <v>21.914179382143516</v>
      </c>
      <c r="AD23" s="28">
        <f t="shared" si="4"/>
        <v>10.957089691071717</v>
      </c>
      <c r="AE23" s="28">
        <f t="shared" si="4"/>
        <v>0</v>
      </c>
      <c r="AF23" s="28">
        <f t="shared" si="4"/>
        <v>0</v>
      </c>
      <c r="AG23" s="28">
        <f t="shared" si="4"/>
        <v>0</v>
      </c>
      <c r="AH23" s="28">
        <f t="shared" si="4"/>
        <v>0</v>
      </c>
      <c r="AI23" s="28">
        <f t="shared" si="4"/>
        <v>0</v>
      </c>
      <c r="AJ23" s="28">
        <f t="shared" si="4"/>
        <v>0</v>
      </c>
    </row>
    <row r="24" spans="1:36">
      <c r="A24" t="s">
        <v>30</v>
      </c>
      <c r="B24" s="49" t="s">
        <v>67</v>
      </c>
      <c r="C24" s="28">
        <v>1067.13435147528</v>
      </c>
      <c r="D24" s="28">
        <v>528.71613442157673</v>
      </c>
      <c r="E24" s="28">
        <v>528.71613442157673</v>
      </c>
      <c r="F24" s="28">
        <f>INDEX('[2]Emissions Factors'!$B$3:$H$33,MATCH('[2]1-4.5'!F$2,'[2]Emissions Factors'!$A$3:$A$33,0),MATCH($B24,'[2]Emissions Factors'!$B$2:$H$2,0))</f>
        <v>333.29430943040865</v>
      </c>
      <c r="G24" s="28">
        <f>INDEX('[2]Emissions Factors'!$B$3:$H$33,MATCH('[2]1-4.5'!G$2,'[2]Emissions Factors'!$A$3:$A$33,0),MATCH($B24,'[2]Emissions Factors'!$B$2:$H$2,0))</f>
        <v>294.64697289492551</v>
      </c>
      <c r="H24" s="28">
        <f>INDEX('[2]Emissions Factors'!$B$3:$H$33,MATCH('[2]1-4.5'!H$2,'[2]Emissions Factors'!$A$3:$A$33,0),MATCH($B24,'[2]Emissions Factors'!$B$2:$H$2,0))</f>
        <v>404.02383185580527</v>
      </c>
      <c r="I24" s="28">
        <f>INDEX('[2]Emissions Factors'!$B$3:$H$33,MATCH('[2]1-4.5'!I$2,'[2]Emissions Factors'!$A$3:$A$33,0),MATCH($B24,'[2]Emissions Factors'!$B$2:$H$2,0))</f>
        <v>518.9757072038999</v>
      </c>
      <c r="J24" s="28">
        <f>INDEX('[2]Emissions Factors'!$B$3:$H$33,MATCH('[2]1-4.5'!J$2,'[2]Emissions Factors'!$A$3:$A$33,0),MATCH($B24,'[2]Emissions Factors'!$B$2:$H$2,0))</f>
        <v>518.9757072038999</v>
      </c>
      <c r="K24" s="28">
        <f t="shared" si="5"/>
        <v>286.4247971667574</v>
      </c>
      <c r="L24" s="28">
        <f t="shared" si="3"/>
        <v>278.61321178948214</v>
      </c>
      <c r="M24" s="28">
        <f t="shared" si="3"/>
        <v>270.80162641220699</v>
      </c>
      <c r="N24" s="28">
        <f t="shared" si="3"/>
        <v>262.99004103493172</v>
      </c>
      <c r="O24" s="28">
        <f t="shared" si="3"/>
        <v>255.1784556576566</v>
      </c>
      <c r="P24" s="28">
        <f t="shared" si="3"/>
        <v>247.36687028038139</v>
      </c>
      <c r="Q24" s="28">
        <f t="shared" si="3"/>
        <v>239.55528490310618</v>
      </c>
      <c r="R24" s="28">
        <f t="shared" si="3"/>
        <v>231.74369952583098</v>
      </c>
      <c r="S24" s="28">
        <f t="shared" si="3"/>
        <v>223.93211414855574</v>
      </c>
      <c r="T24" s="28">
        <f t="shared" si="3"/>
        <v>216.12052877128053</v>
      </c>
      <c r="U24" s="28">
        <f t="shared" si="3"/>
        <v>208.30894339400538</v>
      </c>
      <c r="V24" s="28">
        <f t="shared" si="4"/>
        <v>194.42168050107173</v>
      </c>
      <c r="W24" s="28">
        <f t="shared" si="4"/>
        <v>180.53441760813806</v>
      </c>
      <c r="X24" s="28">
        <f t="shared" si="4"/>
        <v>166.64715471520441</v>
      </c>
      <c r="Y24" s="28">
        <f t="shared" si="4"/>
        <v>152.75989182227073</v>
      </c>
      <c r="Z24" s="28">
        <f t="shared" si="4"/>
        <v>138.87262892933705</v>
      </c>
      <c r="AA24" s="28">
        <f t="shared" si="4"/>
        <v>124.98536603640339</v>
      </c>
      <c r="AB24" s="28">
        <f t="shared" si="4"/>
        <v>111.09810314346973</v>
      </c>
      <c r="AC24" s="28">
        <f t="shared" si="4"/>
        <v>97.210840250536066</v>
      </c>
      <c r="AD24" s="28">
        <f t="shared" si="4"/>
        <v>83.323577357602403</v>
      </c>
      <c r="AE24" s="28">
        <f t="shared" si="4"/>
        <v>69.43631446466874</v>
      </c>
      <c r="AF24" s="28">
        <f t="shared" si="4"/>
        <v>55.54905157173507</v>
      </c>
      <c r="AG24" s="28">
        <f t="shared" si="4"/>
        <v>41.6617886788014</v>
      </c>
      <c r="AH24" s="28">
        <f t="shared" si="4"/>
        <v>27.774525785867738</v>
      </c>
      <c r="AI24" s="28">
        <f t="shared" si="4"/>
        <v>13.887262892934071</v>
      </c>
      <c r="AJ24" s="28">
        <f t="shared" si="4"/>
        <v>0</v>
      </c>
    </row>
    <row r="25" spans="1:36">
      <c r="A25" t="s">
        <v>31</v>
      </c>
      <c r="B25" s="49" t="s">
        <v>67</v>
      </c>
      <c r="C25" s="28">
        <v>565.90458032780009</v>
      </c>
      <c r="D25" s="28">
        <v>528.71613442157673</v>
      </c>
      <c r="E25" s="28">
        <v>528.71613442157673</v>
      </c>
      <c r="F25" s="28">
        <f>INDEX('[2]Emissions Factors'!$B$3:$H$33,MATCH('[2]1-4.5'!F$2,'[2]Emissions Factors'!$A$3:$A$33,0),MATCH($B25,'[2]Emissions Factors'!$B$2:$H$2,0))</f>
        <v>333.29430943040865</v>
      </c>
      <c r="G25" s="28">
        <f>INDEX('[2]Emissions Factors'!$B$3:$H$33,MATCH('[2]1-4.5'!G$2,'[2]Emissions Factors'!$A$3:$A$33,0),MATCH($B25,'[2]Emissions Factors'!$B$2:$H$2,0))</f>
        <v>294.64697289492551</v>
      </c>
      <c r="H25" s="28">
        <f>INDEX('[2]Emissions Factors'!$B$3:$H$33,MATCH('[2]1-4.5'!H$2,'[2]Emissions Factors'!$A$3:$A$33,0),MATCH($B25,'[2]Emissions Factors'!$B$2:$H$2,0))</f>
        <v>404.02383185580527</v>
      </c>
      <c r="I25" s="28">
        <f>INDEX('[2]Emissions Factors'!$B$3:$H$33,MATCH('[2]1-4.5'!I$2,'[2]Emissions Factors'!$A$3:$A$33,0),MATCH($B25,'[2]Emissions Factors'!$B$2:$H$2,0))</f>
        <v>518.9757072038999</v>
      </c>
      <c r="J25" s="28">
        <f>INDEX('[2]Emissions Factors'!$B$3:$H$33,MATCH('[2]1-4.5'!J$2,'[2]Emissions Factors'!$A$3:$A$33,0),MATCH($B25,'[2]Emissions Factors'!$B$2:$H$2,0))</f>
        <v>518.9757072038999</v>
      </c>
      <c r="K25" s="28">
        <f t="shared" si="5"/>
        <v>286.4247971667574</v>
      </c>
      <c r="L25" s="28">
        <f t="shared" si="3"/>
        <v>278.61321178948214</v>
      </c>
      <c r="M25" s="28">
        <f t="shared" si="3"/>
        <v>270.80162641220699</v>
      </c>
      <c r="N25" s="28">
        <f t="shared" si="3"/>
        <v>262.99004103493172</v>
      </c>
      <c r="O25" s="28">
        <f t="shared" si="3"/>
        <v>255.1784556576566</v>
      </c>
      <c r="P25" s="28">
        <f t="shared" si="3"/>
        <v>247.36687028038139</v>
      </c>
      <c r="Q25" s="28">
        <f t="shared" si="3"/>
        <v>239.55528490310618</v>
      </c>
      <c r="R25" s="28">
        <f t="shared" si="3"/>
        <v>231.74369952583098</v>
      </c>
      <c r="S25" s="28">
        <f t="shared" si="3"/>
        <v>223.93211414855574</v>
      </c>
      <c r="T25" s="28">
        <f t="shared" si="3"/>
        <v>216.12052877128053</v>
      </c>
      <c r="U25" s="28">
        <f t="shared" si="3"/>
        <v>208.30894339400538</v>
      </c>
      <c r="V25" s="28">
        <f t="shared" si="4"/>
        <v>194.42168050107173</v>
      </c>
      <c r="W25" s="28">
        <f t="shared" si="4"/>
        <v>180.53441760813806</v>
      </c>
      <c r="X25" s="28">
        <f t="shared" si="4"/>
        <v>166.64715471520441</v>
      </c>
      <c r="Y25" s="28">
        <f t="shared" si="4"/>
        <v>152.75989182227073</v>
      </c>
      <c r="Z25" s="28">
        <f t="shared" si="4"/>
        <v>138.87262892933705</v>
      </c>
      <c r="AA25" s="28">
        <f t="shared" si="4"/>
        <v>124.98536603640339</v>
      </c>
      <c r="AB25" s="28">
        <f t="shared" si="4"/>
        <v>111.09810314346973</v>
      </c>
      <c r="AC25" s="28">
        <f t="shared" si="4"/>
        <v>97.210840250536066</v>
      </c>
      <c r="AD25" s="28">
        <f t="shared" si="4"/>
        <v>83.323577357602403</v>
      </c>
      <c r="AE25" s="28">
        <f t="shared" si="4"/>
        <v>69.43631446466874</v>
      </c>
      <c r="AF25" s="28">
        <f t="shared" si="4"/>
        <v>55.54905157173507</v>
      </c>
      <c r="AG25" s="28">
        <f t="shared" si="4"/>
        <v>41.6617886788014</v>
      </c>
      <c r="AH25" s="28">
        <f t="shared" si="4"/>
        <v>27.774525785867738</v>
      </c>
      <c r="AI25" s="28">
        <f t="shared" si="4"/>
        <v>13.887262892934071</v>
      </c>
      <c r="AJ25" s="28">
        <f t="shared" si="4"/>
        <v>0</v>
      </c>
    </row>
    <row r="26" spans="1:36">
      <c r="A26" t="s">
        <v>32</v>
      </c>
      <c r="B26" s="55" t="s">
        <v>72</v>
      </c>
      <c r="C26" s="28">
        <v>682.48</v>
      </c>
      <c r="D26" s="28">
        <v>595.24810740000009</v>
      </c>
      <c r="E26" s="28">
        <v>595.24810740000009</v>
      </c>
      <c r="F26" s="28">
        <f>INDEX('[2]Emissions Factors'!$B$3:$H$33,MATCH('[2]1-4.5'!F$2,'[2]Emissions Factors'!$A$3:$A$33,0),MATCH($B26,'[2]Emissions Factors'!$B$2:$H$2,0))</f>
        <v>557.41021950893685</v>
      </c>
      <c r="G26" s="28">
        <f>INDEX('[2]Emissions Factors'!$B$3:$H$33,MATCH('[2]1-4.5'!G$2,'[2]Emissions Factors'!$A$3:$A$33,0),MATCH($B26,'[2]Emissions Factors'!$B$2:$H$2,0))</f>
        <v>392.631263162886</v>
      </c>
      <c r="H26" s="28">
        <f>INDEX('[2]Emissions Factors'!$B$3:$H$33,MATCH('[2]1-4.5'!H$2,'[2]Emissions Factors'!$A$3:$A$33,0),MATCH($B26,'[2]Emissions Factors'!$B$2:$H$2,0))</f>
        <v>339.42260108887359</v>
      </c>
      <c r="I26" s="28">
        <f>INDEX('[2]Emissions Factors'!$B$3:$H$33,MATCH('[2]1-4.5'!I$2,'[2]Emissions Factors'!$A$3:$A$33,0),MATCH($B26,'[2]Emissions Factors'!$B$2:$H$2,0))</f>
        <v>465.74046486141259</v>
      </c>
      <c r="J26" s="28">
        <f>INDEX('[2]Emissions Factors'!$B$3:$H$33,MATCH('[2]1-4.5'!J$2,'[2]Emissions Factors'!$A$3:$A$33,0),MATCH($B26,'[2]Emissions Factors'!$B$2:$H$2,0))</f>
        <v>465.74046486141259</v>
      </c>
      <c r="K26" s="28">
        <f t="shared" si="5"/>
        <v>466.83105883873452</v>
      </c>
      <c r="L26" s="28">
        <f t="shared" si="3"/>
        <v>448.01846393030797</v>
      </c>
      <c r="M26" s="28">
        <f t="shared" si="3"/>
        <v>429.20586902188137</v>
      </c>
      <c r="N26" s="28">
        <f t="shared" si="3"/>
        <v>410.39327411345471</v>
      </c>
      <c r="O26" s="28">
        <f t="shared" si="3"/>
        <v>391.5806792050281</v>
      </c>
      <c r="P26" s="28">
        <f t="shared" si="3"/>
        <v>372.76808429660144</v>
      </c>
      <c r="Q26" s="28">
        <f t="shared" si="3"/>
        <v>353.95548938817484</v>
      </c>
      <c r="R26" s="28">
        <f t="shared" si="3"/>
        <v>335.14289447974818</v>
      </c>
      <c r="S26" s="28">
        <f t="shared" si="3"/>
        <v>316.33029957132152</v>
      </c>
      <c r="T26" s="28">
        <f t="shared" si="3"/>
        <v>297.51770466289491</v>
      </c>
      <c r="U26" s="28">
        <f t="shared" si="3"/>
        <v>278.70510975446842</v>
      </c>
      <c r="V26" s="28">
        <f t="shared" si="4"/>
        <v>260.12476910417058</v>
      </c>
      <c r="W26" s="28">
        <f t="shared" si="4"/>
        <v>241.54442845387271</v>
      </c>
      <c r="X26" s="28">
        <f t="shared" si="4"/>
        <v>222.96408780357484</v>
      </c>
      <c r="Y26" s="28">
        <f t="shared" si="4"/>
        <v>204.383747153277</v>
      </c>
      <c r="Z26" s="28">
        <f t="shared" si="4"/>
        <v>185.80340650297913</v>
      </c>
      <c r="AA26" s="28">
        <f t="shared" si="4"/>
        <v>167.22306585268129</v>
      </c>
      <c r="AB26" s="28">
        <f t="shared" si="4"/>
        <v>148.64272520238342</v>
      </c>
      <c r="AC26" s="28">
        <f t="shared" si="4"/>
        <v>130.06238455208555</v>
      </c>
      <c r="AD26" s="28">
        <f t="shared" si="4"/>
        <v>111.48204390178769</v>
      </c>
      <c r="AE26" s="28">
        <f t="shared" si="4"/>
        <v>92.901703251489835</v>
      </c>
      <c r="AF26" s="28">
        <f t="shared" si="4"/>
        <v>74.321362601191979</v>
      </c>
      <c r="AG26" s="28">
        <f t="shared" si="4"/>
        <v>55.741021950894115</v>
      </c>
      <c r="AH26" s="28">
        <f t="shared" si="4"/>
        <v>37.160681300596259</v>
      </c>
      <c r="AI26" s="28">
        <f t="shared" si="4"/>
        <v>18.5803406502984</v>
      </c>
      <c r="AJ26" s="28">
        <f t="shared" si="4"/>
        <v>0</v>
      </c>
    </row>
    <row r="27" spans="1:36">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row r="28" spans="1:36">
      <c r="A28" t="s">
        <v>93</v>
      </c>
      <c r="M28" s="28"/>
    </row>
    <row r="29" spans="1:36">
      <c r="A29" t="s">
        <v>8</v>
      </c>
      <c r="C29">
        <v>1990</v>
      </c>
      <c r="D29">
        <v>2013</v>
      </c>
      <c r="E29">
        <v>2014</v>
      </c>
      <c r="F29">
        <v>2015</v>
      </c>
      <c r="G29">
        <v>2016</v>
      </c>
      <c r="H29">
        <v>2017</v>
      </c>
      <c r="I29">
        <v>2018</v>
      </c>
      <c r="J29">
        <v>2019</v>
      </c>
      <c r="K29">
        <v>2020</v>
      </c>
      <c r="L29">
        <v>2021</v>
      </c>
      <c r="M29">
        <v>2022</v>
      </c>
      <c r="N29">
        <v>2023</v>
      </c>
      <c r="O29">
        <v>2024</v>
      </c>
      <c r="P29">
        <v>2025</v>
      </c>
      <c r="Q29">
        <v>2026</v>
      </c>
      <c r="R29">
        <v>2027</v>
      </c>
      <c r="S29">
        <v>2028</v>
      </c>
      <c r="T29">
        <v>2029</v>
      </c>
      <c r="U29">
        <v>2030</v>
      </c>
      <c r="V29">
        <v>2031</v>
      </c>
      <c r="W29">
        <v>2032</v>
      </c>
      <c r="X29">
        <v>2033</v>
      </c>
      <c r="Y29">
        <v>2034</v>
      </c>
      <c r="Z29">
        <v>2035</v>
      </c>
      <c r="AA29">
        <v>2036</v>
      </c>
      <c r="AB29">
        <v>2037</v>
      </c>
      <c r="AC29">
        <v>2038</v>
      </c>
      <c r="AD29">
        <v>2039</v>
      </c>
      <c r="AE29">
        <v>2040</v>
      </c>
      <c r="AF29">
        <v>2041</v>
      </c>
      <c r="AG29">
        <v>2042</v>
      </c>
      <c r="AH29">
        <v>2043</v>
      </c>
      <c r="AI29">
        <v>2044</v>
      </c>
      <c r="AJ29">
        <v>2045</v>
      </c>
    </row>
    <row r="30" spans="1:36">
      <c r="A30" t="s">
        <v>9</v>
      </c>
      <c r="B30" s="52" t="s">
        <v>83</v>
      </c>
      <c r="C30" s="45">
        <v>5.2945300000000004E-3</v>
      </c>
      <c r="D30" s="45">
        <v>5.2945300000000004E-3</v>
      </c>
      <c r="E30" s="45">
        <v>5.2945300000000004E-3</v>
      </c>
      <c r="F30" s="45">
        <v>5.2945300000000004E-3</v>
      </c>
      <c r="G30" s="45">
        <v>5.2945300000000004E-3</v>
      </c>
      <c r="H30" s="45">
        <v>5.2945300000000004E-3</v>
      </c>
      <c r="I30" s="45">
        <v>5.2945300000000004E-3</v>
      </c>
      <c r="J30" s="45">
        <f t="shared" ref="J30:U45" si="6">$F30/(1-INDEX($E$69:$U$72,MATCH($B$30:$B$53,$A$69:$A$72,0),1))*(1-INDEX($E$69:$U$72,MATCH($B$30:$B$53,$A$69:$A$72,0),MATCH(J$2,$E$68:$U$68,0)))</f>
        <v>5.2945300000000004E-3</v>
      </c>
      <c r="K30" s="45">
        <f t="shared" si="6"/>
        <v>5.2945300000000004E-3</v>
      </c>
      <c r="L30" s="45">
        <f t="shared" si="6"/>
        <v>5.2945300000000004E-3</v>
      </c>
      <c r="M30" s="45">
        <f t="shared" si="6"/>
        <v>5.2945300000000004E-3</v>
      </c>
      <c r="N30" s="45">
        <f t="shared" si="6"/>
        <v>5.2945300000000004E-3</v>
      </c>
      <c r="O30" s="45">
        <f t="shared" si="6"/>
        <v>5.2945300000000004E-3</v>
      </c>
      <c r="P30" s="45">
        <f t="shared" si="6"/>
        <v>5.2945300000000004E-3</v>
      </c>
      <c r="Q30" s="45">
        <f t="shared" si="6"/>
        <v>5.2945300000000004E-3</v>
      </c>
      <c r="R30" s="45">
        <f t="shared" si="6"/>
        <v>5.2945300000000004E-3</v>
      </c>
      <c r="S30" s="45">
        <f t="shared" si="6"/>
        <v>5.2945300000000004E-3</v>
      </c>
      <c r="T30" s="45">
        <f t="shared" si="6"/>
        <v>5.2945300000000004E-3</v>
      </c>
      <c r="U30" s="45">
        <f t="shared" si="6"/>
        <v>5.2945300000000004E-3</v>
      </c>
      <c r="V30" s="45">
        <f>$F30/(1-INDEX($E$69:$AJ$72,MATCH($B$30:$B$53,$A$69:$A$72,0),1))*(1-INDEX($E$69:$AJ$72,MATCH($B$30:$B$53,$A$69:$A$72,0),MATCH(V$2,$E$68:$AJ$68,0)))</f>
        <v>5.2945300000000004E-3</v>
      </c>
      <c r="W30" s="45">
        <f t="shared" ref="W30:AJ45" si="7">$F30/(1-INDEX($E$69:$AJ$72,MATCH($B$30:$B$53,$A$69:$A$72,0),1))*(1-INDEX($E$69:$AJ$72,MATCH($B$30:$B$53,$A$69:$A$72,0),MATCH(W$2,$E$68:$AJ$68,0)))</f>
        <v>5.2945300000000004E-3</v>
      </c>
      <c r="X30" s="45">
        <f t="shared" si="7"/>
        <v>5.2945300000000004E-3</v>
      </c>
      <c r="Y30" s="45">
        <f t="shared" si="7"/>
        <v>5.2680573500000008E-3</v>
      </c>
      <c r="Z30" s="45">
        <f t="shared" si="7"/>
        <v>5.2415847000000003E-3</v>
      </c>
      <c r="AA30" s="45">
        <f t="shared" si="7"/>
        <v>5.1886394000000002E-3</v>
      </c>
      <c r="AB30" s="45">
        <f t="shared" si="7"/>
        <v>5.1356941000000001E-3</v>
      </c>
      <c r="AC30" s="45">
        <f t="shared" si="7"/>
        <v>5.0827488000000001E-3</v>
      </c>
      <c r="AD30" s="45">
        <f t="shared" si="7"/>
        <v>5.0298035E-3</v>
      </c>
      <c r="AE30" s="45">
        <f t="shared" si="7"/>
        <v>4.9768581999999999E-3</v>
      </c>
      <c r="AF30" s="45">
        <f t="shared" si="7"/>
        <v>4.9239128999999998E-3</v>
      </c>
      <c r="AG30" s="45">
        <f t="shared" si="7"/>
        <v>4.8709676000000006E-3</v>
      </c>
      <c r="AH30" s="45">
        <f t="shared" si="7"/>
        <v>4.8180223000000005E-3</v>
      </c>
      <c r="AI30" s="45">
        <f t="shared" si="7"/>
        <v>4.7650770000000004E-3</v>
      </c>
      <c r="AJ30" s="45">
        <f t="shared" si="7"/>
        <v>4.7121317000000003E-3</v>
      </c>
    </row>
    <row r="31" spans="1:36">
      <c r="A31" t="s">
        <v>10</v>
      </c>
      <c r="B31" s="49" t="s">
        <v>84</v>
      </c>
      <c r="C31" s="45">
        <v>5.2945300000000004E-3</v>
      </c>
      <c r="D31" s="45">
        <v>5.2945300000000004E-3</v>
      </c>
      <c r="E31" s="45">
        <v>5.2945300000000004E-3</v>
      </c>
      <c r="F31" s="45">
        <v>5.2945300000000004E-3</v>
      </c>
      <c r="G31" s="45">
        <v>5.2945300000000004E-3</v>
      </c>
      <c r="H31" s="45">
        <v>5.2945300000000004E-3</v>
      </c>
      <c r="I31" s="45">
        <v>5.2945300000000004E-3</v>
      </c>
      <c r="J31" s="45">
        <f t="shared" si="6"/>
        <v>5.2945300000000004E-3</v>
      </c>
      <c r="K31" s="45">
        <f t="shared" si="6"/>
        <v>5.2945300000000004E-3</v>
      </c>
      <c r="L31" s="45">
        <f t="shared" si="6"/>
        <v>5.2945300000000004E-3</v>
      </c>
      <c r="M31" s="45">
        <f t="shared" si="6"/>
        <v>5.2945300000000004E-3</v>
      </c>
      <c r="N31" s="45">
        <f t="shared" si="6"/>
        <v>5.2945300000000004E-3</v>
      </c>
      <c r="O31" s="45">
        <f t="shared" si="6"/>
        <v>5.2945300000000004E-3</v>
      </c>
      <c r="P31" s="45">
        <f t="shared" si="6"/>
        <v>5.2945300000000004E-3</v>
      </c>
      <c r="Q31" s="45">
        <f t="shared" si="6"/>
        <v>5.2945300000000004E-3</v>
      </c>
      <c r="R31" s="45">
        <f t="shared" si="6"/>
        <v>5.2945300000000004E-3</v>
      </c>
      <c r="S31" s="45">
        <f t="shared" si="6"/>
        <v>5.2945300000000004E-3</v>
      </c>
      <c r="T31" s="45">
        <f t="shared" si="6"/>
        <v>5.2945300000000004E-3</v>
      </c>
      <c r="U31" s="45">
        <f t="shared" si="6"/>
        <v>5.2945300000000004E-3</v>
      </c>
      <c r="V31" s="45">
        <f t="shared" ref="V31:AJ53" si="8">$F31/(1-INDEX($E$69:$AJ$72,MATCH($B$30:$B$53,$A$69:$A$72,0),1))*(1-INDEX($E$69:$AJ$72,MATCH($B$30:$B$53,$A$69:$A$72,0),MATCH(V$2,$E$68:$AJ$68,0)))</f>
        <v>5.2945300000000004E-3</v>
      </c>
      <c r="W31" s="45">
        <f t="shared" si="7"/>
        <v>5.2945300000000004E-3</v>
      </c>
      <c r="X31" s="45">
        <f t="shared" si="7"/>
        <v>5.2945300000000004E-3</v>
      </c>
      <c r="Y31" s="45">
        <f t="shared" si="7"/>
        <v>5.2680573500000008E-3</v>
      </c>
      <c r="Z31" s="45">
        <f t="shared" si="7"/>
        <v>5.2415847000000003E-3</v>
      </c>
      <c r="AA31" s="45">
        <f t="shared" si="7"/>
        <v>5.1886394000000002E-3</v>
      </c>
      <c r="AB31" s="45">
        <f t="shared" si="7"/>
        <v>5.1356941000000001E-3</v>
      </c>
      <c r="AC31" s="45">
        <f t="shared" si="7"/>
        <v>5.0827488000000001E-3</v>
      </c>
      <c r="AD31" s="45">
        <f t="shared" si="7"/>
        <v>5.0298035E-3</v>
      </c>
      <c r="AE31" s="45">
        <f t="shared" si="7"/>
        <v>4.9768581999999999E-3</v>
      </c>
      <c r="AF31" s="45">
        <f t="shared" si="7"/>
        <v>4.9239128999999998E-3</v>
      </c>
      <c r="AG31" s="45">
        <f t="shared" si="7"/>
        <v>4.8709676000000006E-3</v>
      </c>
      <c r="AH31" s="45">
        <f t="shared" si="7"/>
        <v>4.8180223000000005E-3</v>
      </c>
      <c r="AI31" s="45">
        <f t="shared" si="7"/>
        <v>4.7650770000000004E-3</v>
      </c>
      <c r="AJ31" s="45">
        <f t="shared" si="7"/>
        <v>4.7121317000000003E-3</v>
      </c>
    </row>
    <row r="32" spans="1:36">
      <c r="A32" t="s">
        <v>11</v>
      </c>
      <c r="B32" s="52" t="s">
        <v>83</v>
      </c>
      <c r="C32" s="45">
        <v>5.2945300000000004E-3</v>
      </c>
      <c r="D32" s="45">
        <v>5.2945300000000004E-3</v>
      </c>
      <c r="E32" s="45">
        <v>5.2945300000000004E-3</v>
      </c>
      <c r="F32" s="45">
        <v>5.2945300000000004E-3</v>
      </c>
      <c r="G32" s="45">
        <v>5.2945300000000004E-3</v>
      </c>
      <c r="H32" s="45">
        <v>5.2945300000000004E-3</v>
      </c>
      <c r="I32" s="45">
        <v>5.2945300000000004E-3</v>
      </c>
      <c r="J32" s="45">
        <f t="shared" si="6"/>
        <v>5.2945300000000004E-3</v>
      </c>
      <c r="K32" s="45">
        <f t="shared" si="6"/>
        <v>5.2945300000000004E-3</v>
      </c>
      <c r="L32" s="45">
        <f t="shared" si="6"/>
        <v>5.2945300000000004E-3</v>
      </c>
      <c r="M32" s="45">
        <f t="shared" si="6"/>
        <v>5.2945300000000004E-3</v>
      </c>
      <c r="N32" s="45">
        <f t="shared" si="6"/>
        <v>5.2945300000000004E-3</v>
      </c>
      <c r="O32" s="45">
        <f t="shared" si="6"/>
        <v>5.2945300000000004E-3</v>
      </c>
      <c r="P32" s="45">
        <f t="shared" si="6"/>
        <v>5.2945300000000004E-3</v>
      </c>
      <c r="Q32" s="45">
        <f t="shared" si="6"/>
        <v>5.2945300000000004E-3</v>
      </c>
      <c r="R32" s="45">
        <f t="shared" si="6"/>
        <v>5.2945300000000004E-3</v>
      </c>
      <c r="S32" s="45">
        <f t="shared" si="6"/>
        <v>5.2945300000000004E-3</v>
      </c>
      <c r="T32" s="45">
        <f t="shared" si="6"/>
        <v>5.2945300000000004E-3</v>
      </c>
      <c r="U32" s="45">
        <f t="shared" si="6"/>
        <v>5.2945300000000004E-3</v>
      </c>
      <c r="V32" s="45">
        <f t="shared" si="8"/>
        <v>5.2945300000000004E-3</v>
      </c>
      <c r="W32" s="45">
        <f t="shared" si="7"/>
        <v>5.2945300000000004E-3</v>
      </c>
      <c r="X32" s="45">
        <f t="shared" si="7"/>
        <v>5.2945300000000004E-3</v>
      </c>
      <c r="Y32" s="45">
        <f t="shared" si="7"/>
        <v>5.2680573500000008E-3</v>
      </c>
      <c r="Z32" s="45">
        <f t="shared" si="7"/>
        <v>5.2415847000000003E-3</v>
      </c>
      <c r="AA32" s="45">
        <f t="shared" si="7"/>
        <v>5.1886394000000002E-3</v>
      </c>
      <c r="AB32" s="45">
        <f t="shared" si="7"/>
        <v>5.1356941000000001E-3</v>
      </c>
      <c r="AC32" s="45">
        <f t="shared" si="7"/>
        <v>5.0827488000000001E-3</v>
      </c>
      <c r="AD32" s="45">
        <f t="shared" si="7"/>
        <v>5.0298035E-3</v>
      </c>
      <c r="AE32" s="45">
        <f t="shared" si="7"/>
        <v>4.9768581999999999E-3</v>
      </c>
      <c r="AF32" s="45">
        <f t="shared" si="7"/>
        <v>4.9239128999999998E-3</v>
      </c>
      <c r="AG32" s="45">
        <f t="shared" si="7"/>
        <v>4.8709676000000006E-3</v>
      </c>
      <c r="AH32" s="45">
        <f t="shared" si="7"/>
        <v>4.8180223000000005E-3</v>
      </c>
      <c r="AI32" s="45">
        <f t="shared" si="7"/>
        <v>4.7650770000000004E-3</v>
      </c>
      <c r="AJ32" s="45">
        <f t="shared" si="7"/>
        <v>4.7121317000000003E-3</v>
      </c>
    </row>
    <row r="33" spans="1:36">
      <c r="A33" t="s">
        <v>12</v>
      </c>
      <c r="B33" s="50" t="s">
        <v>68</v>
      </c>
      <c r="C33" s="45">
        <v>5.2945300000000004E-3</v>
      </c>
      <c r="D33" s="45">
        <v>5.2945300000000004E-3</v>
      </c>
      <c r="E33" s="45">
        <v>5.2945300000000004E-3</v>
      </c>
      <c r="F33" s="45">
        <v>5.2945300000000004E-3</v>
      </c>
      <c r="G33" s="45">
        <v>5.2945300000000004E-3</v>
      </c>
      <c r="H33" s="45">
        <v>5.2945300000000004E-3</v>
      </c>
      <c r="I33" s="45">
        <v>5.2945300000000004E-3</v>
      </c>
      <c r="J33" s="45">
        <f t="shared" si="6"/>
        <v>5.2945300000000004E-3</v>
      </c>
      <c r="K33" s="45">
        <f t="shared" si="6"/>
        <v>5.2945300000000004E-3</v>
      </c>
      <c r="L33" s="45">
        <f t="shared" si="6"/>
        <v>5.2945300000000004E-3</v>
      </c>
      <c r="M33" s="45">
        <f t="shared" si="6"/>
        <v>5.2945300000000004E-3</v>
      </c>
      <c r="N33" s="45">
        <f t="shared" si="6"/>
        <v>5.2945300000000004E-3</v>
      </c>
      <c r="O33" s="45">
        <f t="shared" si="6"/>
        <v>5.2945300000000004E-3</v>
      </c>
      <c r="P33" s="45">
        <f t="shared" si="6"/>
        <v>5.2945300000000004E-3</v>
      </c>
      <c r="Q33" s="45">
        <f t="shared" si="6"/>
        <v>5.2945300000000004E-3</v>
      </c>
      <c r="R33" s="45">
        <f t="shared" si="6"/>
        <v>5.2945300000000004E-3</v>
      </c>
      <c r="S33" s="45">
        <f t="shared" si="6"/>
        <v>5.2945300000000004E-3</v>
      </c>
      <c r="T33" s="45">
        <f t="shared" si="6"/>
        <v>5.2945300000000004E-3</v>
      </c>
      <c r="U33" s="45">
        <f t="shared" si="6"/>
        <v>5.2945300000000004E-3</v>
      </c>
      <c r="V33" s="45">
        <f t="shared" si="8"/>
        <v>5.2945300000000004E-3</v>
      </c>
      <c r="W33" s="45">
        <f t="shared" si="7"/>
        <v>5.2945300000000004E-3</v>
      </c>
      <c r="X33" s="45">
        <f t="shared" si="7"/>
        <v>5.2945300000000004E-3</v>
      </c>
      <c r="Y33" s="45">
        <f t="shared" si="7"/>
        <v>5.2680573500000008E-3</v>
      </c>
      <c r="Z33" s="45">
        <f t="shared" si="7"/>
        <v>5.2415847000000003E-3</v>
      </c>
      <c r="AA33" s="45">
        <f t="shared" si="7"/>
        <v>5.1886394000000002E-3</v>
      </c>
      <c r="AB33" s="45">
        <f t="shared" si="7"/>
        <v>5.1356941000000001E-3</v>
      </c>
      <c r="AC33" s="45">
        <f t="shared" si="7"/>
        <v>5.0827488000000001E-3</v>
      </c>
      <c r="AD33" s="45">
        <f t="shared" si="7"/>
        <v>5.0298035E-3</v>
      </c>
      <c r="AE33" s="45">
        <f t="shared" si="7"/>
        <v>4.9768581999999999E-3</v>
      </c>
      <c r="AF33" s="45">
        <f t="shared" si="7"/>
        <v>4.9239128999999998E-3</v>
      </c>
      <c r="AG33" s="45">
        <f t="shared" si="7"/>
        <v>4.8709676000000006E-3</v>
      </c>
      <c r="AH33" s="45">
        <f t="shared" si="7"/>
        <v>4.8180223000000005E-3</v>
      </c>
      <c r="AI33" s="45">
        <f t="shared" si="7"/>
        <v>4.7650770000000004E-3</v>
      </c>
      <c r="AJ33" s="45">
        <f t="shared" si="7"/>
        <v>4.7121317000000003E-3</v>
      </c>
    </row>
    <row r="34" spans="1:36">
      <c r="A34" t="s">
        <v>13</v>
      </c>
      <c r="B34" s="52" t="s">
        <v>83</v>
      </c>
      <c r="C34" s="45">
        <v>5.2945300000000004E-3</v>
      </c>
      <c r="D34" s="45">
        <v>5.2945300000000004E-3</v>
      </c>
      <c r="E34" s="45">
        <v>5.2945300000000004E-3</v>
      </c>
      <c r="F34" s="45">
        <v>5.2945300000000004E-3</v>
      </c>
      <c r="G34" s="45">
        <v>5.2945300000000004E-3</v>
      </c>
      <c r="H34" s="45">
        <v>5.2945300000000004E-3</v>
      </c>
      <c r="I34" s="45">
        <v>5.2945300000000004E-3</v>
      </c>
      <c r="J34" s="45">
        <f t="shared" si="6"/>
        <v>5.2945300000000004E-3</v>
      </c>
      <c r="K34" s="45">
        <f t="shared" si="6"/>
        <v>5.2945300000000004E-3</v>
      </c>
      <c r="L34" s="45">
        <f t="shared" si="6"/>
        <v>5.2945300000000004E-3</v>
      </c>
      <c r="M34" s="45">
        <f t="shared" si="6"/>
        <v>5.2945300000000004E-3</v>
      </c>
      <c r="N34" s="45">
        <f t="shared" si="6"/>
        <v>5.2945300000000004E-3</v>
      </c>
      <c r="O34" s="45">
        <f t="shared" si="6"/>
        <v>5.2945300000000004E-3</v>
      </c>
      <c r="P34" s="45">
        <f t="shared" si="6"/>
        <v>5.2945300000000004E-3</v>
      </c>
      <c r="Q34" s="45">
        <f t="shared" si="6"/>
        <v>5.2945300000000004E-3</v>
      </c>
      <c r="R34" s="45">
        <f t="shared" si="6"/>
        <v>5.2945300000000004E-3</v>
      </c>
      <c r="S34" s="45">
        <f t="shared" si="6"/>
        <v>5.2945300000000004E-3</v>
      </c>
      <c r="T34" s="45">
        <f t="shared" si="6"/>
        <v>5.2945300000000004E-3</v>
      </c>
      <c r="U34" s="45">
        <f t="shared" si="6"/>
        <v>5.2945300000000004E-3</v>
      </c>
      <c r="V34" s="45">
        <f t="shared" si="8"/>
        <v>5.2945300000000004E-3</v>
      </c>
      <c r="W34" s="45">
        <f t="shared" si="7"/>
        <v>5.2945300000000004E-3</v>
      </c>
      <c r="X34" s="45">
        <f t="shared" si="7"/>
        <v>5.2945300000000004E-3</v>
      </c>
      <c r="Y34" s="45">
        <f t="shared" si="7"/>
        <v>5.2680573500000008E-3</v>
      </c>
      <c r="Z34" s="45">
        <f t="shared" si="7"/>
        <v>5.2415847000000003E-3</v>
      </c>
      <c r="AA34" s="45">
        <f t="shared" si="7"/>
        <v>5.1886394000000002E-3</v>
      </c>
      <c r="AB34" s="45">
        <f t="shared" si="7"/>
        <v>5.1356941000000001E-3</v>
      </c>
      <c r="AC34" s="45">
        <f t="shared" si="7"/>
        <v>5.0827488000000001E-3</v>
      </c>
      <c r="AD34" s="45">
        <f t="shared" si="7"/>
        <v>5.0298035E-3</v>
      </c>
      <c r="AE34" s="45">
        <f t="shared" si="7"/>
        <v>4.9768581999999999E-3</v>
      </c>
      <c r="AF34" s="45">
        <f t="shared" si="7"/>
        <v>4.9239128999999998E-3</v>
      </c>
      <c r="AG34" s="45">
        <f t="shared" si="7"/>
        <v>4.8709676000000006E-3</v>
      </c>
      <c r="AH34" s="45">
        <f t="shared" si="7"/>
        <v>4.8180223000000005E-3</v>
      </c>
      <c r="AI34" s="45">
        <f t="shared" si="7"/>
        <v>4.7650770000000004E-3</v>
      </c>
      <c r="AJ34" s="45">
        <f t="shared" si="7"/>
        <v>4.7121317000000003E-3</v>
      </c>
    </row>
    <row r="35" spans="1:36">
      <c r="A35" t="s">
        <v>14</v>
      </c>
      <c r="B35" s="50" t="s">
        <v>68</v>
      </c>
      <c r="C35" s="45">
        <v>5.2945300000000004E-3</v>
      </c>
      <c r="D35" s="45">
        <v>5.2945300000000004E-3</v>
      </c>
      <c r="E35" s="45">
        <v>5.2945300000000004E-3</v>
      </c>
      <c r="F35" s="45">
        <v>5.2945300000000004E-3</v>
      </c>
      <c r="G35" s="45">
        <v>5.2945300000000004E-3</v>
      </c>
      <c r="H35" s="45">
        <v>5.2945300000000004E-3</v>
      </c>
      <c r="I35" s="45">
        <v>5.2945300000000004E-3</v>
      </c>
      <c r="J35" s="45">
        <f t="shared" si="6"/>
        <v>5.2945300000000004E-3</v>
      </c>
      <c r="K35" s="45">
        <f t="shared" si="6"/>
        <v>5.2945300000000004E-3</v>
      </c>
      <c r="L35" s="45">
        <f t="shared" si="6"/>
        <v>5.2945300000000004E-3</v>
      </c>
      <c r="M35" s="45">
        <f t="shared" si="6"/>
        <v>5.2945300000000004E-3</v>
      </c>
      <c r="N35" s="45">
        <f t="shared" si="6"/>
        <v>5.2945300000000004E-3</v>
      </c>
      <c r="O35" s="45">
        <f t="shared" si="6"/>
        <v>5.2945300000000004E-3</v>
      </c>
      <c r="P35" s="45">
        <f t="shared" si="6"/>
        <v>5.2945300000000004E-3</v>
      </c>
      <c r="Q35" s="45">
        <f t="shared" si="6"/>
        <v>5.2945300000000004E-3</v>
      </c>
      <c r="R35" s="45">
        <f t="shared" si="6"/>
        <v>5.2945300000000004E-3</v>
      </c>
      <c r="S35" s="45">
        <f t="shared" si="6"/>
        <v>5.2945300000000004E-3</v>
      </c>
      <c r="T35" s="45">
        <f t="shared" si="6"/>
        <v>5.2945300000000004E-3</v>
      </c>
      <c r="U35" s="45">
        <f t="shared" si="6"/>
        <v>5.2945300000000004E-3</v>
      </c>
      <c r="V35" s="45">
        <f t="shared" si="8"/>
        <v>5.2945300000000004E-3</v>
      </c>
      <c r="W35" s="45">
        <f t="shared" si="7"/>
        <v>5.2945300000000004E-3</v>
      </c>
      <c r="X35" s="45">
        <f t="shared" si="7"/>
        <v>5.2945300000000004E-3</v>
      </c>
      <c r="Y35" s="45">
        <f t="shared" si="7"/>
        <v>5.2680573500000008E-3</v>
      </c>
      <c r="Z35" s="45">
        <f t="shared" si="7"/>
        <v>5.2415847000000003E-3</v>
      </c>
      <c r="AA35" s="45">
        <f t="shared" si="7"/>
        <v>5.1886394000000002E-3</v>
      </c>
      <c r="AB35" s="45">
        <f t="shared" si="7"/>
        <v>5.1356941000000001E-3</v>
      </c>
      <c r="AC35" s="45">
        <f t="shared" si="7"/>
        <v>5.0827488000000001E-3</v>
      </c>
      <c r="AD35" s="45">
        <f t="shared" si="7"/>
        <v>5.0298035E-3</v>
      </c>
      <c r="AE35" s="45">
        <f t="shared" si="7"/>
        <v>4.9768581999999999E-3</v>
      </c>
      <c r="AF35" s="45">
        <f t="shared" si="7"/>
        <v>4.9239128999999998E-3</v>
      </c>
      <c r="AG35" s="45">
        <f t="shared" si="7"/>
        <v>4.8709676000000006E-3</v>
      </c>
      <c r="AH35" s="45">
        <f t="shared" si="7"/>
        <v>4.8180223000000005E-3</v>
      </c>
      <c r="AI35" s="45">
        <f t="shared" si="7"/>
        <v>4.7650770000000004E-3</v>
      </c>
      <c r="AJ35" s="45">
        <f t="shared" si="7"/>
        <v>4.7121317000000003E-3</v>
      </c>
    </row>
    <row r="36" spans="1:36">
      <c r="A36" t="s">
        <v>15</v>
      </c>
      <c r="B36" s="50" t="s">
        <v>68</v>
      </c>
      <c r="C36" s="45">
        <v>5.2945300000000004E-3</v>
      </c>
      <c r="D36" s="45">
        <v>5.2945300000000004E-3</v>
      </c>
      <c r="E36" s="45">
        <v>5.2945300000000004E-3</v>
      </c>
      <c r="F36" s="45">
        <v>5.2945300000000004E-3</v>
      </c>
      <c r="G36" s="45">
        <v>5.2945300000000004E-3</v>
      </c>
      <c r="H36" s="45">
        <v>5.2945300000000004E-3</v>
      </c>
      <c r="I36" s="45">
        <v>5.2945300000000004E-3</v>
      </c>
      <c r="J36" s="45">
        <f t="shared" si="6"/>
        <v>5.2945300000000004E-3</v>
      </c>
      <c r="K36" s="45">
        <f t="shared" si="6"/>
        <v>5.2945300000000004E-3</v>
      </c>
      <c r="L36" s="45">
        <f t="shared" si="6"/>
        <v>5.2945300000000004E-3</v>
      </c>
      <c r="M36" s="45">
        <f t="shared" si="6"/>
        <v>5.2945300000000004E-3</v>
      </c>
      <c r="N36" s="45">
        <f t="shared" si="6"/>
        <v>5.2945300000000004E-3</v>
      </c>
      <c r="O36" s="45">
        <f t="shared" si="6"/>
        <v>5.2945300000000004E-3</v>
      </c>
      <c r="P36" s="45">
        <f t="shared" si="6"/>
        <v>5.2945300000000004E-3</v>
      </c>
      <c r="Q36" s="45">
        <f t="shared" si="6"/>
        <v>5.2945300000000004E-3</v>
      </c>
      <c r="R36" s="45">
        <f t="shared" si="6"/>
        <v>5.2945300000000004E-3</v>
      </c>
      <c r="S36" s="45">
        <f t="shared" si="6"/>
        <v>5.2945300000000004E-3</v>
      </c>
      <c r="T36" s="45">
        <f t="shared" si="6"/>
        <v>5.2945300000000004E-3</v>
      </c>
      <c r="U36" s="45">
        <f t="shared" si="6"/>
        <v>5.2945300000000004E-3</v>
      </c>
      <c r="V36" s="45">
        <f t="shared" si="8"/>
        <v>5.2945300000000004E-3</v>
      </c>
      <c r="W36" s="45">
        <f t="shared" si="7"/>
        <v>5.2945300000000004E-3</v>
      </c>
      <c r="X36" s="45">
        <f t="shared" si="7"/>
        <v>5.2945300000000004E-3</v>
      </c>
      <c r="Y36" s="45">
        <f t="shared" si="7"/>
        <v>5.2680573500000008E-3</v>
      </c>
      <c r="Z36" s="45">
        <f t="shared" si="7"/>
        <v>5.2415847000000003E-3</v>
      </c>
      <c r="AA36" s="45">
        <f t="shared" si="7"/>
        <v>5.1886394000000002E-3</v>
      </c>
      <c r="AB36" s="45">
        <f t="shared" si="7"/>
        <v>5.1356941000000001E-3</v>
      </c>
      <c r="AC36" s="45">
        <f t="shared" si="7"/>
        <v>5.0827488000000001E-3</v>
      </c>
      <c r="AD36" s="45">
        <f t="shared" si="7"/>
        <v>5.0298035E-3</v>
      </c>
      <c r="AE36" s="45">
        <f t="shared" si="7"/>
        <v>4.9768581999999999E-3</v>
      </c>
      <c r="AF36" s="45">
        <f t="shared" si="7"/>
        <v>4.9239128999999998E-3</v>
      </c>
      <c r="AG36" s="45">
        <f t="shared" si="7"/>
        <v>4.8709676000000006E-3</v>
      </c>
      <c r="AH36" s="45">
        <f t="shared" si="7"/>
        <v>4.8180223000000005E-3</v>
      </c>
      <c r="AI36" s="45">
        <f t="shared" si="7"/>
        <v>4.7650770000000004E-3</v>
      </c>
      <c r="AJ36" s="45">
        <f t="shared" si="7"/>
        <v>4.7121317000000003E-3</v>
      </c>
    </row>
    <row r="37" spans="1:36">
      <c r="A37" t="s">
        <v>16</v>
      </c>
      <c r="B37" s="52" t="s">
        <v>83</v>
      </c>
      <c r="C37" s="45">
        <v>5.2945300000000004E-3</v>
      </c>
      <c r="D37" s="45">
        <v>5.2945300000000004E-3</v>
      </c>
      <c r="E37" s="45">
        <v>5.2945300000000004E-3</v>
      </c>
      <c r="F37" s="45">
        <v>5.2945300000000004E-3</v>
      </c>
      <c r="G37" s="45">
        <v>5.2945300000000004E-3</v>
      </c>
      <c r="H37" s="45">
        <v>5.2945300000000004E-3</v>
      </c>
      <c r="I37" s="45">
        <v>5.2945300000000004E-3</v>
      </c>
      <c r="J37" s="45">
        <f t="shared" si="6"/>
        <v>5.2945300000000004E-3</v>
      </c>
      <c r="K37" s="45">
        <f t="shared" si="6"/>
        <v>5.2945300000000004E-3</v>
      </c>
      <c r="L37" s="45">
        <f t="shared" si="6"/>
        <v>5.2945300000000004E-3</v>
      </c>
      <c r="M37" s="45">
        <f t="shared" si="6"/>
        <v>5.2945300000000004E-3</v>
      </c>
      <c r="N37" s="45">
        <f t="shared" si="6"/>
        <v>5.2945300000000004E-3</v>
      </c>
      <c r="O37" s="45">
        <f t="shared" si="6"/>
        <v>5.2945300000000004E-3</v>
      </c>
      <c r="P37" s="45">
        <f t="shared" si="6"/>
        <v>5.2945300000000004E-3</v>
      </c>
      <c r="Q37" s="45">
        <f t="shared" si="6"/>
        <v>5.2945300000000004E-3</v>
      </c>
      <c r="R37" s="45">
        <f t="shared" si="6"/>
        <v>5.2945300000000004E-3</v>
      </c>
      <c r="S37" s="45">
        <f t="shared" si="6"/>
        <v>5.2945300000000004E-3</v>
      </c>
      <c r="T37" s="45">
        <f t="shared" si="6"/>
        <v>5.2945300000000004E-3</v>
      </c>
      <c r="U37" s="45">
        <f t="shared" si="6"/>
        <v>5.2945300000000004E-3</v>
      </c>
      <c r="V37" s="45">
        <f t="shared" si="8"/>
        <v>5.2945300000000004E-3</v>
      </c>
      <c r="W37" s="45">
        <f t="shared" si="7"/>
        <v>5.2945300000000004E-3</v>
      </c>
      <c r="X37" s="45">
        <f t="shared" si="7"/>
        <v>5.2945300000000004E-3</v>
      </c>
      <c r="Y37" s="45">
        <f t="shared" si="7"/>
        <v>5.2680573500000008E-3</v>
      </c>
      <c r="Z37" s="45">
        <f t="shared" si="7"/>
        <v>5.2415847000000003E-3</v>
      </c>
      <c r="AA37" s="45">
        <f t="shared" si="7"/>
        <v>5.1886394000000002E-3</v>
      </c>
      <c r="AB37" s="45">
        <f t="shared" si="7"/>
        <v>5.1356941000000001E-3</v>
      </c>
      <c r="AC37" s="45">
        <f t="shared" si="7"/>
        <v>5.0827488000000001E-3</v>
      </c>
      <c r="AD37" s="45">
        <f t="shared" si="7"/>
        <v>5.0298035E-3</v>
      </c>
      <c r="AE37" s="45">
        <f t="shared" si="7"/>
        <v>4.9768581999999999E-3</v>
      </c>
      <c r="AF37" s="45">
        <f t="shared" si="7"/>
        <v>4.9239128999999998E-3</v>
      </c>
      <c r="AG37" s="45">
        <f t="shared" si="7"/>
        <v>4.8709676000000006E-3</v>
      </c>
      <c r="AH37" s="45">
        <f t="shared" si="7"/>
        <v>4.8180223000000005E-3</v>
      </c>
      <c r="AI37" s="45">
        <f t="shared" si="7"/>
        <v>4.7650770000000004E-3</v>
      </c>
      <c r="AJ37" s="45">
        <f t="shared" si="7"/>
        <v>4.7121317000000003E-3</v>
      </c>
    </row>
    <row r="38" spans="1:36">
      <c r="A38" t="s">
        <v>17</v>
      </c>
      <c r="B38" s="50" t="s">
        <v>68</v>
      </c>
      <c r="C38" s="45">
        <v>5.2945300000000004E-3</v>
      </c>
      <c r="D38" s="45">
        <v>5.2945300000000004E-3</v>
      </c>
      <c r="E38" s="45">
        <v>5.2945300000000004E-3</v>
      </c>
      <c r="F38" s="45">
        <v>5.2945300000000004E-3</v>
      </c>
      <c r="G38" s="45">
        <v>5.2945300000000004E-3</v>
      </c>
      <c r="H38" s="45">
        <v>5.2945300000000004E-3</v>
      </c>
      <c r="I38" s="45">
        <v>5.2945300000000004E-3</v>
      </c>
      <c r="J38" s="45">
        <f t="shared" si="6"/>
        <v>5.2945300000000004E-3</v>
      </c>
      <c r="K38" s="45">
        <f t="shared" si="6"/>
        <v>5.2945300000000004E-3</v>
      </c>
      <c r="L38" s="45">
        <f t="shared" si="6"/>
        <v>5.2945300000000004E-3</v>
      </c>
      <c r="M38" s="45">
        <f t="shared" si="6"/>
        <v>5.2945300000000004E-3</v>
      </c>
      <c r="N38" s="45">
        <f t="shared" si="6"/>
        <v>5.2945300000000004E-3</v>
      </c>
      <c r="O38" s="45">
        <f t="shared" si="6"/>
        <v>5.2945300000000004E-3</v>
      </c>
      <c r="P38" s="45">
        <f t="shared" si="6"/>
        <v>5.2945300000000004E-3</v>
      </c>
      <c r="Q38" s="45">
        <f t="shared" si="6"/>
        <v>5.2945300000000004E-3</v>
      </c>
      <c r="R38" s="45">
        <f t="shared" si="6"/>
        <v>5.2945300000000004E-3</v>
      </c>
      <c r="S38" s="45">
        <f t="shared" si="6"/>
        <v>5.2945300000000004E-3</v>
      </c>
      <c r="T38" s="45">
        <f t="shared" si="6"/>
        <v>5.2945300000000004E-3</v>
      </c>
      <c r="U38" s="45">
        <f t="shared" si="6"/>
        <v>5.2945300000000004E-3</v>
      </c>
      <c r="V38" s="45">
        <f t="shared" si="8"/>
        <v>5.2945300000000004E-3</v>
      </c>
      <c r="W38" s="45">
        <f t="shared" si="7"/>
        <v>5.2945300000000004E-3</v>
      </c>
      <c r="X38" s="45">
        <f t="shared" si="7"/>
        <v>5.2945300000000004E-3</v>
      </c>
      <c r="Y38" s="45">
        <f t="shared" si="7"/>
        <v>5.2680573500000008E-3</v>
      </c>
      <c r="Z38" s="45">
        <f t="shared" si="7"/>
        <v>5.2415847000000003E-3</v>
      </c>
      <c r="AA38" s="45">
        <f t="shared" si="7"/>
        <v>5.1886394000000002E-3</v>
      </c>
      <c r="AB38" s="45">
        <f t="shared" si="7"/>
        <v>5.1356941000000001E-3</v>
      </c>
      <c r="AC38" s="45">
        <f t="shared" si="7"/>
        <v>5.0827488000000001E-3</v>
      </c>
      <c r="AD38" s="45">
        <f t="shared" si="7"/>
        <v>5.0298035E-3</v>
      </c>
      <c r="AE38" s="45">
        <f t="shared" si="7"/>
        <v>4.9768581999999999E-3</v>
      </c>
      <c r="AF38" s="45">
        <f t="shared" si="7"/>
        <v>4.9239128999999998E-3</v>
      </c>
      <c r="AG38" s="45">
        <f t="shared" si="7"/>
        <v>4.8709676000000006E-3</v>
      </c>
      <c r="AH38" s="45">
        <f t="shared" si="7"/>
        <v>4.8180223000000005E-3</v>
      </c>
      <c r="AI38" s="45">
        <f t="shared" si="7"/>
        <v>4.7650770000000004E-3</v>
      </c>
      <c r="AJ38" s="45">
        <f t="shared" si="7"/>
        <v>4.7121317000000003E-3</v>
      </c>
    </row>
    <row r="39" spans="1:36">
      <c r="A39" t="s">
        <v>18</v>
      </c>
      <c r="B39" s="49" t="s">
        <v>84</v>
      </c>
      <c r="C39" s="45">
        <v>5.2945300000000004E-3</v>
      </c>
      <c r="D39" s="45">
        <v>5.2945300000000004E-3</v>
      </c>
      <c r="E39" s="45">
        <v>5.2945300000000004E-3</v>
      </c>
      <c r="F39" s="45">
        <v>5.2945300000000004E-3</v>
      </c>
      <c r="G39" s="45">
        <v>5.2945300000000004E-3</v>
      </c>
      <c r="H39" s="45">
        <v>5.2945300000000004E-3</v>
      </c>
      <c r="I39" s="45">
        <v>5.2945300000000004E-3</v>
      </c>
      <c r="J39" s="45">
        <f t="shared" si="6"/>
        <v>5.2945300000000004E-3</v>
      </c>
      <c r="K39" s="45">
        <f t="shared" si="6"/>
        <v>5.2945300000000004E-3</v>
      </c>
      <c r="L39" s="45">
        <f t="shared" si="6"/>
        <v>5.2945300000000004E-3</v>
      </c>
      <c r="M39" s="45">
        <f t="shared" si="6"/>
        <v>5.2945300000000004E-3</v>
      </c>
      <c r="N39" s="45">
        <f t="shared" si="6"/>
        <v>5.2945300000000004E-3</v>
      </c>
      <c r="O39" s="45">
        <f t="shared" si="6"/>
        <v>5.2945300000000004E-3</v>
      </c>
      <c r="P39" s="45">
        <f t="shared" si="6"/>
        <v>5.2945300000000004E-3</v>
      </c>
      <c r="Q39" s="45">
        <f t="shared" si="6"/>
        <v>5.2945300000000004E-3</v>
      </c>
      <c r="R39" s="45">
        <f t="shared" si="6"/>
        <v>5.2945300000000004E-3</v>
      </c>
      <c r="S39" s="45">
        <f t="shared" si="6"/>
        <v>5.2945300000000004E-3</v>
      </c>
      <c r="T39" s="45">
        <f t="shared" si="6"/>
        <v>5.2945300000000004E-3</v>
      </c>
      <c r="U39" s="45">
        <f t="shared" si="6"/>
        <v>5.2945300000000004E-3</v>
      </c>
      <c r="V39" s="45">
        <f t="shared" si="8"/>
        <v>5.2945300000000004E-3</v>
      </c>
      <c r="W39" s="45">
        <f t="shared" si="7"/>
        <v>5.2945300000000004E-3</v>
      </c>
      <c r="X39" s="45">
        <f t="shared" si="7"/>
        <v>5.2945300000000004E-3</v>
      </c>
      <c r="Y39" s="45">
        <f t="shared" si="7"/>
        <v>5.2680573500000008E-3</v>
      </c>
      <c r="Z39" s="45">
        <f t="shared" si="7"/>
        <v>5.2415847000000003E-3</v>
      </c>
      <c r="AA39" s="45">
        <f t="shared" si="7"/>
        <v>5.1886394000000002E-3</v>
      </c>
      <c r="AB39" s="45">
        <f t="shared" si="7"/>
        <v>5.1356941000000001E-3</v>
      </c>
      <c r="AC39" s="45">
        <f t="shared" si="7"/>
        <v>5.0827488000000001E-3</v>
      </c>
      <c r="AD39" s="45">
        <f t="shared" si="7"/>
        <v>5.0298035E-3</v>
      </c>
      <c r="AE39" s="45">
        <f t="shared" si="7"/>
        <v>4.9768581999999999E-3</v>
      </c>
      <c r="AF39" s="45">
        <f t="shared" si="7"/>
        <v>4.9239128999999998E-3</v>
      </c>
      <c r="AG39" s="45">
        <f t="shared" si="7"/>
        <v>4.8709676000000006E-3</v>
      </c>
      <c r="AH39" s="45">
        <f t="shared" si="7"/>
        <v>4.8180223000000005E-3</v>
      </c>
      <c r="AI39" s="45">
        <f t="shared" si="7"/>
        <v>4.7650770000000004E-3</v>
      </c>
      <c r="AJ39" s="45">
        <f t="shared" si="7"/>
        <v>4.7121317000000003E-3</v>
      </c>
    </row>
    <row r="40" spans="1:36">
      <c r="A40" t="s">
        <v>19</v>
      </c>
      <c r="B40" s="52" t="s">
        <v>83</v>
      </c>
      <c r="C40" s="45">
        <v>5.2945300000000004E-3</v>
      </c>
      <c r="D40" s="45">
        <v>5.2945300000000004E-3</v>
      </c>
      <c r="E40" s="45">
        <v>5.2945300000000004E-3</v>
      </c>
      <c r="F40" s="45">
        <v>5.2945300000000004E-3</v>
      </c>
      <c r="G40" s="45">
        <v>5.2945300000000004E-3</v>
      </c>
      <c r="H40" s="45">
        <v>5.2945300000000004E-3</v>
      </c>
      <c r="I40" s="45">
        <v>5.2945300000000004E-3</v>
      </c>
      <c r="J40" s="45">
        <f t="shared" si="6"/>
        <v>5.2945300000000004E-3</v>
      </c>
      <c r="K40" s="45">
        <f t="shared" si="6"/>
        <v>5.2945300000000004E-3</v>
      </c>
      <c r="L40" s="45">
        <f t="shared" si="6"/>
        <v>5.2945300000000004E-3</v>
      </c>
      <c r="M40" s="45">
        <f t="shared" si="6"/>
        <v>5.2945300000000004E-3</v>
      </c>
      <c r="N40" s="45">
        <f t="shared" si="6"/>
        <v>5.2945300000000004E-3</v>
      </c>
      <c r="O40" s="45">
        <f t="shared" si="6"/>
        <v>5.2945300000000004E-3</v>
      </c>
      <c r="P40" s="45">
        <f t="shared" si="6"/>
        <v>5.2945300000000004E-3</v>
      </c>
      <c r="Q40" s="45">
        <f t="shared" si="6"/>
        <v>5.2945300000000004E-3</v>
      </c>
      <c r="R40" s="45">
        <f t="shared" si="6"/>
        <v>5.2945300000000004E-3</v>
      </c>
      <c r="S40" s="45">
        <f t="shared" si="6"/>
        <v>5.2945300000000004E-3</v>
      </c>
      <c r="T40" s="45">
        <f t="shared" si="6"/>
        <v>5.2945300000000004E-3</v>
      </c>
      <c r="U40" s="45">
        <f t="shared" si="6"/>
        <v>5.2945300000000004E-3</v>
      </c>
      <c r="V40" s="45">
        <f t="shared" si="8"/>
        <v>5.2945300000000004E-3</v>
      </c>
      <c r="W40" s="45">
        <f t="shared" si="7"/>
        <v>5.2945300000000004E-3</v>
      </c>
      <c r="X40" s="45">
        <f t="shared" si="7"/>
        <v>5.2945300000000004E-3</v>
      </c>
      <c r="Y40" s="45">
        <f t="shared" si="7"/>
        <v>5.2680573500000008E-3</v>
      </c>
      <c r="Z40" s="45">
        <f t="shared" si="7"/>
        <v>5.2415847000000003E-3</v>
      </c>
      <c r="AA40" s="45">
        <f t="shared" si="7"/>
        <v>5.1886394000000002E-3</v>
      </c>
      <c r="AB40" s="45">
        <f t="shared" si="7"/>
        <v>5.1356941000000001E-3</v>
      </c>
      <c r="AC40" s="45">
        <f t="shared" si="7"/>
        <v>5.0827488000000001E-3</v>
      </c>
      <c r="AD40" s="45">
        <f t="shared" si="7"/>
        <v>5.0298035E-3</v>
      </c>
      <c r="AE40" s="45">
        <f t="shared" si="7"/>
        <v>4.9768581999999999E-3</v>
      </c>
      <c r="AF40" s="45">
        <f t="shared" si="7"/>
        <v>4.9239128999999998E-3</v>
      </c>
      <c r="AG40" s="45">
        <f t="shared" si="7"/>
        <v>4.8709676000000006E-3</v>
      </c>
      <c r="AH40" s="45">
        <f t="shared" si="7"/>
        <v>4.8180223000000005E-3</v>
      </c>
      <c r="AI40" s="45">
        <f t="shared" si="7"/>
        <v>4.7650770000000004E-3</v>
      </c>
      <c r="AJ40" s="45">
        <f t="shared" si="7"/>
        <v>4.7121317000000003E-3</v>
      </c>
    </row>
    <row r="41" spans="1:36">
      <c r="A41" t="s">
        <v>20</v>
      </c>
      <c r="B41" s="50" t="s">
        <v>68</v>
      </c>
      <c r="C41" s="45">
        <v>5.2945300000000004E-3</v>
      </c>
      <c r="D41" s="45">
        <v>5.2945300000000004E-3</v>
      </c>
      <c r="E41" s="45">
        <v>5.2945300000000004E-3</v>
      </c>
      <c r="F41" s="45">
        <v>5.2945300000000004E-3</v>
      </c>
      <c r="G41" s="45">
        <v>5.2945300000000004E-3</v>
      </c>
      <c r="H41" s="45">
        <v>5.2945300000000004E-3</v>
      </c>
      <c r="I41" s="45">
        <v>5.2945300000000004E-3</v>
      </c>
      <c r="J41" s="45">
        <f t="shared" si="6"/>
        <v>5.2945300000000004E-3</v>
      </c>
      <c r="K41" s="45">
        <f t="shared" si="6"/>
        <v>5.2945300000000004E-3</v>
      </c>
      <c r="L41" s="45">
        <f t="shared" si="6"/>
        <v>5.2945300000000004E-3</v>
      </c>
      <c r="M41" s="45">
        <f t="shared" si="6"/>
        <v>5.2945300000000004E-3</v>
      </c>
      <c r="N41" s="45">
        <f t="shared" si="6"/>
        <v>5.2945300000000004E-3</v>
      </c>
      <c r="O41" s="45">
        <f t="shared" si="6"/>
        <v>5.2945300000000004E-3</v>
      </c>
      <c r="P41" s="45">
        <f t="shared" si="6"/>
        <v>5.2945300000000004E-3</v>
      </c>
      <c r="Q41" s="45">
        <f t="shared" si="6"/>
        <v>5.2945300000000004E-3</v>
      </c>
      <c r="R41" s="45">
        <f t="shared" si="6"/>
        <v>5.2945300000000004E-3</v>
      </c>
      <c r="S41" s="45">
        <f t="shared" si="6"/>
        <v>5.2945300000000004E-3</v>
      </c>
      <c r="T41" s="45">
        <f t="shared" si="6"/>
        <v>5.2945300000000004E-3</v>
      </c>
      <c r="U41" s="45">
        <f t="shared" si="6"/>
        <v>5.2945300000000004E-3</v>
      </c>
      <c r="V41" s="45">
        <f t="shared" si="8"/>
        <v>5.2945300000000004E-3</v>
      </c>
      <c r="W41" s="45">
        <f t="shared" si="7"/>
        <v>5.2945300000000004E-3</v>
      </c>
      <c r="X41" s="45">
        <f t="shared" si="7"/>
        <v>5.2945300000000004E-3</v>
      </c>
      <c r="Y41" s="45">
        <f t="shared" si="7"/>
        <v>5.2680573500000008E-3</v>
      </c>
      <c r="Z41" s="45">
        <f t="shared" si="7"/>
        <v>5.2415847000000003E-3</v>
      </c>
      <c r="AA41" s="45">
        <f t="shared" si="7"/>
        <v>5.1886394000000002E-3</v>
      </c>
      <c r="AB41" s="45">
        <f t="shared" si="7"/>
        <v>5.1356941000000001E-3</v>
      </c>
      <c r="AC41" s="45">
        <f t="shared" si="7"/>
        <v>5.0827488000000001E-3</v>
      </c>
      <c r="AD41" s="45">
        <f t="shared" si="7"/>
        <v>5.0298035E-3</v>
      </c>
      <c r="AE41" s="45">
        <f t="shared" si="7"/>
        <v>4.9768581999999999E-3</v>
      </c>
      <c r="AF41" s="45">
        <f t="shared" si="7"/>
        <v>4.9239128999999998E-3</v>
      </c>
      <c r="AG41" s="45">
        <f t="shared" si="7"/>
        <v>4.8709676000000006E-3</v>
      </c>
      <c r="AH41" s="45">
        <f t="shared" si="7"/>
        <v>4.8180223000000005E-3</v>
      </c>
      <c r="AI41" s="45">
        <f t="shared" si="7"/>
        <v>4.7650770000000004E-3</v>
      </c>
      <c r="AJ41" s="45">
        <f t="shared" si="7"/>
        <v>4.7121317000000003E-3</v>
      </c>
    </row>
    <row r="42" spans="1:36">
      <c r="A42" t="s">
        <v>21</v>
      </c>
      <c r="B42" s="50" t="s">
        <v>68</v>
      </c>
      <c r="C42" s="45">
        <v>5.2945300000000004E-3</v>
      </c>
      <c r="D42" s="45">
        <v>5.2945300000000004E-3</v>
      </c>
      <c r="E42" s="45">
        <v>5.2945300000000004E-3</v>
      </c>
      <c r="F42" s="45">
        <v>5.2945300000000004E-3</v>
      </c>
      <c r="G42" s="45">
        <v>5.2945300000000004E-3</v>
      </c>
      <c r="H42" s="45">
        <v>5.2945300000000004E-3</v>
      </c>
      <c r="I42" s="45">
        <v>5.2945300000000004E-3</v>
      </c>
      <c r="J42" s="45">
        <f t="shared" si="6"/>
        <v>5.2945300000000004E-3</v>
      </c>
      <c r="K42" s="45">
        <f t="shared" si="6"/>
        <v>5.2945300000000004E-3</v>
      </c>
      <c r="L42" s="45">
        <f t="shared" si="6"/>
        <v>5.2945300000000004E-3</v>
      </c>
      <c r="M42" s="45">
        <f t="shared" si="6"/>
        <v>5.2945300000000004E-3</v>
      </c>
      <c r="N42" s="45">
        <f t="shared" si="6"/>
        <v>5.2945300000000004E-3</v>
      </c>
      <c r="O42" s="45">
        <f t="shared" si="6"/>
        <v>5.2945300000000004E-3</v>
      </c>
      <c r="P42" s="45">
        <f t="shared" si="6"/>
        <v>5.2945300000000004E-3</v>
      </c>
      <c r="Q42" s="45">
        <f t="shared" si="6"/>
        <v>5.2945300000000004E-3</v>
      </c>
      <c r="R42" s="45">
        <f t="shared" si="6"/>
        <v>5.2945300000000004E-3</v>
      </c>
      <c r="S42" s="45">
        <f t="shared" si="6"/>
        <v>5.2945300000000004E-3</v>
      </c>
      <c r="T42" s="45">
        <f t="shared" si="6"/>
        <v>5.2945300000000004E-3</v>
      </c>
      <c r="U42" s="45">
        <f t="shared" si="6"/>
        <v>5.2945300000000004E-3</v>
      </c>
      <c r="V42" s="45">
        <f t="shared" si="8"/>
        <v>5.2945300000000004E-3</v>
      </c>
      <c r="W42" s="45">
        <f t="shared" si="7"/>
        <v>5.2945300000000004E-3</v>
      </c>
      <c r="X42" s="45">
        <f t="shared" si="7"/>
        <v>5.2945300000000004E-3</v>
      </c>
      <c r="Y42" s="45">
        <f t="shared" si="7"/>
        <v>5.2680573500000008E-3</v>
      </c>
      <c r="Z42" s="45">
        <f t="shared" si="7"/>
        <v>5.2415847000000003E-3</v>
      </c>
      <c r="AA42" s="45">
        <f t="shared" si="7"/>
        <v>5.1886394000000002E-3</v>
      </c>
      <c r="AB42" s="45">
        <f t="shared" si="7"/>
        <v>5.1356941000000001E-3</v>
      </c>
      <c r="AC42" s="45">
        <f t="shared" si="7"/>
        <v>5.0827488000000001E-3</v>
      </c>
      <c r="AD42" s="45">
        <f t="shared" si="7"/>
        <v>5.0298035E-3</v>
      </c>
      <c r="AE42" s="45">
        <f t="shared" si="7"/>
        <v>4.9768581999999999E-3</v>
      </c>
      <c r="AF42" s="45">
        <f t="shared" si="7"/>
        <v>4.9239128999999998E-3</v>
      </c>
      <c r="AG42" s="45">
        <f t="shared" si="7"/>
        <v>4.8709676000000006E-3</v>
      </c>
      <c r="AH42" s="45">
        <f t="shared" si="7"/>
        <v>4.8180223000000005E-3</v>
      </c>
      <c r="AI42" s="45">
        <f t="shared" si="7"/>
        <v>4.7650770000000004E-3</v>
      </c>
      <c r="AJ42" s="45">
        <f t="shared" si="7"/>
        <v>4.7121317000000003E-3</v>
      </c>
    </row>
    <row r="43" spans="1:36">
      <c r="A43" t="s">
        <v>22</v>
      </c>
      <c r="B43" s="52" t="s">
        <v>83</v>
      </c>
      <c r="C43" s="45">
        <v>5.2945300000000004E-3</v>
      </c>
      <c r="D43" s="45">
        <v>5.2945300000000004E-3</v>
      </c>
      <c r="E43" s="45">
        <v>5.2945300000000004E-3</v>
      </c>
      <c r="F43" s="45">
        <v>5.2945300000000004E-3</v>
      </c>
      <c r="G43" s="45">
        <v>5.2945300000000004E-3</v>
      </c>
      <c r="H43" s="45">
        <v>5.2945300000000004E-3</v>
      </c>
      <c r="I43" s="45">
        <v>5.2945300000000004E-3</v>
      </c>
      <c r="J43" s="45">
        <f t="shared" si="6"/>
        <v>5.2945300000000004E-3</v>
      </c>
      <c r="K43" s="45">
        <f t="shared" si="6"/>
        <v>5.2945300000000004E-3</v>
      </c>
      <c r="L43" s="45">
        <f t="shared" si="6"/>
        <v>5.2945300000000004E-3</v>
      </c>
      <c r="M43" s="45">
        <f t="shared" si="6"/>
        <v>5.2945300000000004E-3</v>
      </c>
      <c r="N43" s="45">
        <f t="shared" si="6"/>
        <v>5.2945300000000004E-3</v>
      </c>
      <c r="O43" s="45">
        <f t="shared" si="6"/>
        <v>5.2945300000000004E-3</v>
      </c>
      <c r="P43" s="45">
        <f t="shared" si="6"/>
        <v>5.2945300000000004E-3</v>
      </c>
      <c r="Q43" s="45">
        <f t="shared" si="6"/>
        <v>5.2945300000000004E-3</v>
      </c>
      <c r="R43" s="45">
        <f t="shared" si="6"/>
        <v>5.2945300000000004E-3</v>
      </c>
      <c r="S43" s="45">
        <f t="shared" si="6"/>
        <v>5.2945300000000004E-3</v>
      </c>
      <c r="T43" s="45">
        <f t="shared" si="6"/>
        <v>5.2945300000000004E-3</v>
      </c>
      <c r="U43" s="45">
        <f t="shared" si="6"/>
        <v>5.2945300000000004E-3</v>
      </c>
      <c r="V43" s="45">
        <f t="shared" si="8"/>
        <v>5.2945300000000004E-3</v>
      </c>
      <c r="W43" s="45">
        <f t="shared" si="7"/>
        <v>5.2945300000000004E-3</v>
      </c>
      <c r="X43" s="45">
        <f t="shared" si="7"/>
        <v>5.2945300000000004E-3</v>
      </c>
      <c r="Y43" s="45">
        <f t="shared" si="7"/>
        <v>5.2680573500000008E-3</v>
      </c>
      <c r="Z43" s="45">
        <f t="shared" si="7"/>
        <v>5.2415847000000003E-3</v>
      </c>
      <c r="AA43" s="45">
        <f t="shared" si="7"/>
        <v>5.1886394000000002E-3</v>
      </c>
      <c r="AB43" s="45">
        <f t="shared" si="7"/>
        <v>5.1356941000000001E-3</v>
      </c>
      <c r="AC43" s="45">
        <f t="shared" si="7"/>
        <v>5.0827488000000001E-3</v>
      </c>
      <c r="AD43" s="45">
        <f t="shared" si="7"/>
        <v>5.0298035E-3</v>
      </c>
      <c r="AE43" s="45">
        <f t="shared" si="7"/>
        <v>4.9768581999999999E-3</v>
      </c>
      <c r="AF43" s="45">
        <f t="shared" si="7"/>
        <v>4.9239128999999998E-3</v>
      </c>
      <c r="AG43" s="45">
        <f t="shared" si="7"/>
        <v>4.8709676000000006E-3</v>
      </c>
      <c r="AH43" s="45">
        <f t="shared" si="7"/>
        <v>4.8180223000000005E-3</v>
      </c>
      <c r="AI43" s="45">
        <f t="shared" si="7"/>
        <v>4.7650770000000004E-3</v>
      </c>
      <c r="AJ43" s="45">
        <f t="shared" si="7"/>
        <v>4.7121317000000003E-3</v>
      </c>
    </row>
    <row r="44" spans="1:36">
      <c r="A44" t="s">
        <v>23</v>
      </c>
      <c r="B44" s="52" t="s">
        <v>83</v>
      </c>
      <c r="C44" s="45">
        <v>5.2945300000000004E-3</v>
      </c>
      <c r="D44" s="45">
        <v>5.2945300000000004E-3</v>
      </c>
      <c r="E44" s="45">
        <v>5.2945300000000004E-3</v>
      </c>
      <c r="F44" s="45">
        <v>5.2945300000000004E-3</v>
      </c>
      <c r="G44" s="45">
        <v>5.2945300000000004E-3</v>
      </c>
      <c r="H44" s="45">
        <v>5.2945300000000004E-3</v>
      </c>
      <c r="I44" s="45">
        <v>5.2945300000000004E-3</v>
      </c>
      <c r="J44" s="45">
        <f t="shared" si="6"/>
        <v>5.2945300000000004E-3</v>
      </c>
      <c r="K44" s="45">
        <f t="shared" si="6"/>
        <v>5.2945300000000004E-3</v>
      </c>
      <c r="L44" s="45">
        <f t="shared" si="6"/>
        <v>5.2945300000000004E-3</v>
      </c>
      <c r="M44" s="45">
        <f t="shared" si="6"/>
        <v>5.2945300000000004E-3</v>
      </c>
      <c r="N44" s="45">
        <f t="shared" si="6"/>
        <v>5.2945300000000004E-3</v>
      </c>
      <c r="O44" s="45">
        <f t="shared" si="6"/>
        <v>5.2945300000000004E-3</v>
      </c>
      <c r="P44" s="45">
        <f t="shared" si="6"/>
        <v>5.2945300000000004E-3</v>
      </c>
      <c r="Q44" s="45">
        <f t="shared" si="6"/>
        <v>5.2945300000000004E-3</v>
      </c>
      <c r="R44" s="45">
        <f t="shared" si="6"/>
        <v>5.2945300000000004E-3</v>
      </c>
      <c r="S44" s="45">
        <f t="shared" si="6"/>
        <v>5.2945300000000004E-3</v>
      </c>
      <c r="T44" s="45">
        <f t="shared" si="6"/>
        <v>5.2945300000000004E-3</v>
      </c>
      <c r="U44" s="45">
        <f t="shared" si="6"/>
        <v>5.2945300000000004E-3</v>
      </c>
      <c r="V44" s="45">
        <f t="shared" si="8"/>
        <v>5.2945300000000004E-3</v>
      </c>
      <c r="W44" s="45">
        <f t="shared" si="7"/>
        <v>5.2945300000000004E-3</v>
      </c>
      <c r="X44" s="45">
        <f t="shared" si="7"/>
        <v>5.2945300000000004E-3</v>
      </c>
      <c r="Y44" s="45">
        <f t="shared" si="7"/>
        <v>5.2680573500000008E-3</v>
      </c>
      <c r="Z44" s="45">
        <f t="shared" si="7"/>
        <v>5.2415847000000003E-3</v>
      </c>
      <c r="AA44" s="45">
        <f t="shared" si="7"/>
        <v>5.1886394000000002E-3</v>
      </c>
      <c r="AB44" s="45">
        <f t="shared" si="7"/>
        <v>5.1356941000000001E-3</v>
      </c>
      <c r="AC44" s="45">
        <f t="shared" si="7"/>
        <v>5.0827488000000001E-3</v>
      </c>
      <c r="AD44" s="45">
        <f t="shared" si="7"/>
        <v>5.0298035E-3</v>
      </c>
      <c r="AE44" s="45">
        <f t="shared" si="7"/>
        <v>4.9768581999999999E-3</v>
      </c>
      <c r="AF44" s="45">
        <f t="shared" si="7"/>
        <v>4.9239128999999998E-3</v>
      </c>
      <c r="AG44" s="45">
        <f t="shared" si="7"/>
        <v>4.8709676000000006E-3</v>
      </c>
      <c r="AH44" s="45">
        <f t="shared" si="7"/>
        <v>4.8180223000000005E-3</v>
      </c>
      <c r="AI44" s="45">
        <f t="shared" si="7"/>
        <v>4.7650770000000004E-3</v>
      </c>
      <c r="AJ44" s="45">
        <f t="shared" si="7"/>
        <v>4.7121317000000003E-3</v>
      </c>
    </row>
    <row r="45" spans="1:36">
      <c r="A45" t="s">
        <v>24</v>
      </c>
      <c r="B45" s="50" t="s">
        <v>68</v>
      </c>
      <c r="C45" s="45">
        <v>5.2945300000000004E-3</v>
      </c>
      <c r="D45" s="45">
        <v>5.2945300000000004E-3</v>
      </c>
      <c r="E45" s="45">
        <v>5.2945300000000004E-3</v>
      </c>
      <c r="F45" s="45">
        <v>5.2945300000000004E-3</v>
      </c>
      <c r="G45" s="45">
        <v>5.2945300000000004E-3</v>
      </c>
      <c r="H45" s="45">
        <v>5.2945300000000004E-3</v>
      </c>
      <c r="I45" s="45">
        <v>5.2945300000000004E-3</v>
      </c>
      <c r="J45" s="45">
        <f t="shared" si="6"/>
        <v>5.2945300000000004E-3</v>
      </c>
      <c r="K45" s="45">
        <f t="shared" si="6"/>
        <v>5.2945300000000004E-3</v>
      </c>
      <c r="L45" s="45">
        <f t="shared" si="6"/>
        <v>5.2945300000000004E-3</v>
      </c>
      <c r="M45" s="45">
        <f t="shared" si="6"/>
        <v>5.2945300000000004E-3</v>
      </c>
      <c r="N45" s="45">
        <f t="shared" si="6"/>
        <v>5.2945300000000004E-3</v>
      </c>
      <c r="O45" s="45">
        <f t="shared" si="6"/>
        <v>5.2945300000000004E-3</v>
      </c>
      <c r="P45" s="45">
        <f t="shared" si="6"/>
        <v>5.2945300000000004E-3</v>
      </c>
      <c r="Q45" s="45">
        <f t="shared" si="6"/>
        <v>5.2945300000000004E-3</v>
      </c>
      <c r="R45" s="45">
        <f t="shared" si="6"/>
        <v>5.2945300000000004E-3</v>
      </c>
      <c r="S45" s="45">
        <f t="shared" si="6"/>
        <v>5.2945300000000004E-3</v>
      </c>
      <c r="T45" s="45">
        <f t="shared" si="6"/>
        <v>5.2945300000000004E-3</v>
      </c>
      <c r="U45" s="45">
        <f t="shared" si="6"/>
        <v>5.2945300000000004E-3</v>
      </c>
      <c r="V45" s="45">
        <f t="shared" si="8"/>
        <v>5.2945300000000004E-3</v>
      </c>
      <c r="W45" s="45">
        <f t="shared" si="7"/>
        <v>5.2945300000000004E-3</v>
      </c>
      <c r="X45" s="45">
        <f t="shared" si="7"/>
        <v>5.2945300000000004E-3</v>
      </c>
      <c r="Y45" s="45">
        <f t="shared" si="7"/>
        <v>5.2680573500000008E-3</v>
      </c>
      <c r="Z45" s="45">
        <f t="shared" si="7"/>
        <v>5.2415847000000003E-3</v>
      </c>
      <c r="AA45" s="45">
        <f t="shared" si="7"/>
        <v>5.1886394000000002E-3</v>
      </c>
      <c r="AB45" s="45">
        <f t="shared" si="7"/>
        <v>5.1356941000000001E-3</v>
      </c>
      <c r="AC45" s="45">
        <f t="shared" si="7"/>
        <v>5.0827488000000001E-3</v>
      </c>
      <c r="AD45" s="45">
        <f t="shared" si="7"/>
        <v>5.0298035E-3</v>
      </c>
      <c r="AE45" s="45">
        <f t="shared" si="7"/>
        <v>4.9768581999999999E-3</v>
      </c>
      <c r="AF45" s="45">
        <f t="shared" si="7"/>
        <v>4.9239128999999998E-3</v>
      </c>
      <c r="AG45" s="45">
        <f t="shared" si="7"/>
        <v>4.8709676000000006E-3</v>
      </c>
      <c r="AH45" s="45">
        <f t="shared" si="7"/>
        <v>4.8180223000000005E-3</v>
      </c>
      <c r="AI45" s="45">
        <f t="shared" si="7"/>
        <v>4.7650770000000004E-3</v>
      </c>
      <c r="AJ45" s="45">
        <f t="shared" si="7"/>
        <v>4.7121317000000003E-3</v>
      </c>
    </row>
    <row r="46" spans="1:36">
      <c r="A46" t="s">
        <v>25</v>
      </c>
      <c r="B46" s="52" t="s">
        <v>83</v>
      </c>
      <c r="C46" s="45">
        <v>5.2945300000000004E-3</v>
      </c>
      <c r="D46" s="45">
        <v>5.2945300000000004E-3</v>
      </c>
      <c r="E46" s="45">
        <v>5.2945300000000004E-3</v>
      </c>
      <c r="F46" s="45">
        <v>5.2945300000000004E-3</v>
      </c>
      <c r="G46" s="45">
        <v>5.2945300000000004E-3</v>
      </c>
      <c r="H46" s="45">
        <v>5.2945300000000004E-3</v>
      </c>
      <c r="I46" s="45">
        <v>5.2945300000000004E-3</v>
      </c>
      <c r="J46" s="45">
        <f t="shared" ref="J46:U53" si="9">$F46/(1-INDEX($E$69:$U$72,MATCH($B$30:$B$53,$A$69:$A$72,0),1))*(1-INDEX($E$69:$U$72,MATCH($B$30:$B$53,$A$69:$A$72,0),MATCH(J$2,$E$68:$U$68,0)))</f>
        <v>5.2945300000000004E-3</v>
      </c>
      <c r="K46" s="45">
        <f t="shared" si="9"/>
        <v>5.2945300000000004E-3</v>
      </c>
      <c r="L46" s="45">
        <f t="shared" si="9"/>
        <v>5.2945300000000004E-3</v>
      </c>
      <c r="M46" s="45">
        <f t="shared" si="9"/>
        <v>5.2945300000000004E-3</v>
      </c>
      <c r="N46" s="45">
        <f t="shared" si="9"/>
        <v>5.2945300000000004E-3</v>
      </c>
      <c r="O46" s="45">
        <f t="shared" si="9"/>
        <v>5.2945300000000004E-3</v>
      </c>
      <c r="P46" s="45">
        <f t="shared" si="9"/>
        <v>5.2945300000000004E-3</v>
      </c>
      <c r="Q46" s="45">
        <f t="shared" si="9"/>
        <v>5.2945300000000004E-3</v>
      </c>
      <c r="R46" s="45">
        <f t="shared" si="9"/>
        <v>5.2945300000000004E-3</v>
      </c>
      <c r="S46" s="45">
        <f t="shared" si="9"/>
        <v>5.2945300000000004E-3</v>
      </c>
      <c r="T46" s="45">
        <f t="shared" si="9"/>
        <v>5.2945300000000004E-3</v>
      </c>
      <c r="U46" s="45">
        <f t="shared" si="9"/>
        <v>5.2945300000000004E-3</v>
      </c>
      <c r="V46" s="45">
        <f t="shared" si="8"/>
        <v>5.2945300000000004E-3</v>
      </c>
      <c r="W46" s="45">
        <f t="shared" si="8"/>
        <v>5.2945300000000004E-3</v>
      </c>
      <c r="X46" s="45">
        <f t="shared" si="8"/>
        <v>5.2945300000000004E-3</v>
      </c>
      <c r="Y46" s="45">
        <f t="shared" si="8"/>
        <v>5.2680573500000008E-3</v>
      </c>
      <c r="Z46" s="45">
        <f t="shared" si="8"/>
        <v>5.2415847000000003E-3</v>
      </c>
      <c r="AA46" s="45">
        <f t="shared" si="8"/>
        <v>5.1886394000000002E-3</v>
      </c>
      <c r="AB46" s="45">
        <f t="shared" si="8"/>
        <v>5.1356941000000001E-3</v>
      </c>
      <c r="AC46" s="45">
        <f t="shared" si="8"/>
        <v>5.0827488000000001E-3</v>
      </c>
      <c r="AD46" s="45">
        <f t="shared" si="8"/>
        <v>5.0298035E-3</v>
      </c>
      <c r="AE46" s="45">
        <f t="shared" si="8"/>
        <v>4.9768581999999999E-3</v>
      </c>
      <c r="AF46" s="45">
        <f t="shared" si="8"/>
        <v>4.9239128999999998E-3</v>
      </c>
      <c r="AG46" s="45">
        <f t="shared" si="8"/>
        <v>4.8709676000000006E-3</v>
      </c>
      <c r="AH46" s="45">
        <f t="shared" si="8"/>
        <v>4.8180223000000005E-3</v>
      </c>
      <c r="AI46" s="45">
        <f t="shared" si="8"/>
        <v>4.7650770000000004E-3</v>
      </c>
      <c r="AJ46" s="45">
        <f t="shared" si="8"/>
        <v>4.7121317000000003E-3</v>
      </c>
    </row>
    <row r="47" spans="1:36">
      <c r="A47" t="s">
        <v>26</v>
      </c>
      <c r="B47" s="51" t="s">
        <v>71</v>
      </c>
      <c r="C47" s="45">
        <v>5.2945300000000004E-3</v>
      </c>
      <c r="D47" s="45">
        <v>5.2945300000000004E-3</v>
      </c>
      <c r="E47" s="45">
        <v>5.2945300000000004E-3</v>
      </c>
      <c r="F47" s="45">
        <v>5.2945300000000004E-3</v>
      </c>
      <c r="G47" s="45">
        <v>5.2945300000000004E-3</v>
      </c>
      <c r="H47" s="45">
        <v>5.2945300000000004E-3</v>
      </c>
      <c r="I47" s="45">
        <v>5.2945300000000004E-3</v>
      </c>
      <c r="J47" s="45">
        <f t="shared" si="9"/>
        <v>5.2945300000000004E-3</v>
      </c>
      <c r="K47" s="45">
        <f t="shared" si="9"/>
        <v>5.2945300000000004E-3</v>
      </c>
      <c r="L47" s="45">
        <f t="shared" si="9"/>
        <v>5.2945300000000004E-3</v>
      </c>
      <c r="M47" s="45">
        <f t="shared" si="9"/>
        <v>5.2945300000000004E-3</v>
      </c>
      <c r="N47" s="45">
        <f t="shared" si="9"/>
        <v>5.2945300000000004E-3</v>
      </c>
      <c r="O47" s="45">
        <f t="shared" si="9"/>
        <v>5.2945300000000004E-3</v>
      </c>
      <c r="P47" s="45">
        <f t="shared" si="9"/>
        <v>5.2945300000000004E-3</v>
      </c>
      <c r="Q47" s="45">
        <f t="shared" si="9"/>
        <v>5.2945300000000004E-3</v>
      </c>
      <c r="R47" s="45">
        <f t="shared" si="9"/>
        <v>5.2945300000000004E-3</v>
      </c>
      <c r="S47" s="45">
        <f t="shared" si="9"/>
        <v>5.2945300000000004E-3</v>
      </c>
      <c r="T47" s="45">
        <f t="shared" si="9"/>
        <v>5.2945300000000004E-3</v>
      </c>
      <c r="U47" s="45">
        <f t="shared" si="9"/>
        <v>5.2945300000000004E-3</v>
      </c>
      <c r="V47" s="45">
        <f t="shared" si="8"/>
        <v>5.2945300000000004E-3</v>
      </c>
      <c r="W47" s="45">
        <f t="shared" si="8"/>
        <v>5.2945300000000004E-3</v>
      </c>
      <c r="X47" s="45">
        <f t="shared" si="8"/>
        <v>5.2945300000000004E-3</v>
      </c>
      <c r="Y47" s="45">
        <f t="shared" si="8"/>
        <v>5.2680573500000008E-3</v>
      </c>
      <c r="Z47" s="45">
        <f t="shared" si="8"/>
        <v>5.2415847000000003E-3</v>
      </c>
      <c r="AA47" s="45">
        <f t="shared" si="8"/>
        <v>5.1886394000000002E-3</v>
      </c>
      <c r="AB47" s="45">
        <f t="shared" si="8"/>
        <v>5.1356941000000001E-3</v>
      </c>
      <c r="AC47" s="45">
        <f t="shared" si="8"/>
        <v>5.0827488000000001E-3</v>
      </c>
      <c r="AD47" s="45">
        <f t="shared" si="8"/>
        <v>5.0298035E-3</v>
      </c>
      <c r="AE47" s="45">
        <f t="shared" si="8"/>
        <v>4.9768581999999999E-3</v>
      </c>
      <c r="AF47" s="45">
        <f t="shared" si="8"/>
        <v>4.9239128999999998E-3</v>
      </c>
      <c r="AG47" s="45">
        <f t="shared" si="8"/>
        <v>4.8709676000000006E-3</v>
      </c>
      <c r="AH47" s="45">
        <f t="shared" si="8"/>
        <v>4.8180223000000005E-3</v>
      </c>
      <c r="AI47" s="45">
        <f t="shared" si="8"/>
        <v>4.7650770000000004E-3</v>
      </c>
      <c r="AJ47" s="45">
        <f t="shared" si="8"/>
        <v>4.7121317000000003E-3</v>
      </c>
    </row>
    <row r="48" spans="1:36">
      <c r="A48" t="s">
        <v>27</v>
      </c>
      <c r="B48" s="50" t="s">
        <v>68</v>
      </c>
      <c r="C48" s="45">
        <v>5.2945300000000004E-3</v>
      </c>
      <c r="D48" s="45">
        <v>5.2945300000000004E-3</v>
      </c>
      <c r="E48" s="45">
        <v>5.2945300000000004E-3</v>
      </c>
      <c r="F48" s="45">
        <v>5.2945300000000004E-3</v>
      </c>
      <c r="G48" s="45">
        <v>5.2945300000000004E-3</v>
      </c>
      <c r="H48" s="45">
        <v>5.2945300000000004E-3</v>
      </c>
      <c r="I48" s="45">
        <v>5.2945300000000004E-3</v>
      </c>
      <c r="J48" s="45">
        <f t="shared" si="9"/>
        <v>5.2945300000000004E-3</v>
      </c>
      <c r="K48" s="45">
        <f t="shared" si="9"/>
        <v>5.2945300000000004E-3</v>
      </c>
      <c r="L48" s="45">
        <f t="shared" si="9"/>
        <v>5.2945300000000004E-3</v>
      </c>
      <c r="M48" s="45">
        <f t="shared" si="9"/>
        <v>5.2945300000000004E-3</v>
      </c>
      <c r="N48" s="45">
        <f t="shared" si="9"/>
        <v>5.2945300000000004E-3</v>
      </c>
      <c r="O48" s="45">
        <f t="shared" si="9"/>
        <v>5.2945300000000004E-3</v>
      </c>
      <c r="P48" s="45">
        <f t="shared" si="9"/>
        <v>5.2945300000000004E-3</v>
      </c>
      <c r="Q48" s="45">
        <f t="shared" si="9"/>
        <v>5.2945300000000004E-3</v>
      </c>
      <c r="R48" s="45">
        <f t="shared" si="9"/>
        <v>5.2945300000000004E-3</v>
      </c>
      <c r="S48" s="45">
        <f t="shared" si="9"/>
        <v>5.2945300000000004E-3</v>
      </c>
      <c r="T48" s="45">
        <f t="shared" si="9"/>
        <v>5.2945300000000004E-3</v>
      </c>
      <c r="U48" s="45">
        <f t="shared" si="9"/>
        <v>5.2945300000000004E-3</v>
      </c>
      <c r="V48" s="45">
        <f t="shared" si="8"/>
        <v>5.2945300000000004E-3</v>
      </c>
      <c r="W48" s="45">
        <f t="shared" si="8"/>
        <v>5.2945300000000004E-3</v>
      </c>
      <c r="X48" s="45">
        <f t="shared" si="8"/>
        <v>5.2945300000000004E-3</v>
      </c>
      <c r="Y48" s="45">
        <f t="shared" si="8"/>
        <v>5.2680573500000008E-3</v>
      </c>
      <c r="Z48" s="45">
        <f t="shared" si="8"/>
        <v>5.2415847000000003E-3</v>
      </c>
      <c r="AA48" s="45">
        <f t="shared" si="8"/>
        <v>5.1886394000000002E-3</v>
      </c>
      <c r="AB48" s="45">
        <f t="shared" si="8"/>
        <v>5.1356941000000001E-3</v>
      </c>
      <c r="AC48" s="45">
        <f t="shared" si="8"/>
        <v>5.0827488000000001E-3</v>
      </c>
      <c r="AD48" s="45">
        <f t="shared" si="8"/>
        <v>5.0298035E-3</v>
      </c>
      <c r="AE48" s="45">
        <f t="shared" si="8"/>
        <v>4.9768581999999999E-3</v>
      </c>
      <c r="AF48" s="45">
        <f t="shared" si="8"/>
        <v>4.9239128999999998E-3</v>
      </c>
      <c r="AG48" s="45">
        <f t="shared" si="8"/>
        <v>4.8709676000000006E-3</v>
      </c>
      <c r="AH48" s="45">
        <f t="shared" si="8"/>
        <v>4.8180223000000005E-3</v>
      </c>
      <c r="AI48" s="45">
        <f t="shared" si="8"/>
        <v>4.7650770000000004E-3</v>
      </c>
      <c r="AJ48" s="45">
        <f t="shared" si="8"/>
        <v>4.7121317000000003E-3</v>
      </c>
    </row>
    <row r="49" spans="1:36">
      <c r="A49" t="s">
        <v>28</v>
      </c>
      <c r="B49" s="50" t="s">
        <v>68</v>
      </c>
      <c r="C49" s="45">
        <v>5.2945300000000004E-3</v>
      </c>
      <c r="D49" s="45">
        <v>5.2945300000000004E-3</v>
      </c>
      <c r="E49" s="45">
        <v>5.2945300000000004E-3</v>
      </c>
      <c r="F49" s="45">
        <v>5.2945300000000004E-3</v>
      </c>
      <c r="G49" s="45">
        <v>5.2945300000000004E-3</v>
      </c>
      <c r="H49" s="45">
        <v>5.2945300000000004E-3</v>
      </c>
      <c r="I49" s="45">
        <v>5.2945300000000004E-3</v>
      </c>
      <c r="J49" s="45">
        <f t="shared" si="9"/>
        <v>5.2945300000000004E-3</v>
      </c>
      <c r="K49" s="45">
        <f t="shared" si="9"/>
        <v>5.2945300000000004E-3</v>
      </c>
      <c r="L49" s="45">
        <f t="shared" si="9"/>
        <v>5.2945300000000004E-3</v>
      </c>
      <c r="M49" s="45">
        <f t="shared" si="9"/>
        <v>5.2945300000000004E-3</v>
      </c>
      <c r="N49" s="45">
        <f t="shared" si="9"/>
        <v>5.2945300000000004E-3</v>
      </c>
      <c r="O49" s="45">
        <f t="shared" si="9"/>
        <v>5.2945300000000004E-3</v>
      </c>
      <c r="P49" s="45">
        <f t="shared" si="9"/>
        <v>5.2945300000000004E-3</v>
      </c>
      <c r="Q49" s="45">
        <f t="shared" si="9"/>
        <v>5.2945300000000004E-3</v>
      </c>
      <c r="R49" s="45">
        <f t="shared" si="9"/>
        <v>5.2945300000000004E-3</v>
      </c>
      <c r="S49" s="45">
        <f t="shared" si="9"/>
        <v>5.2945300000000004E-3</v>
      </c>
      <c r="T49" s="45">
        <f t="shared" si="9"/>
        <v>5.2945300000000004E-3</v>
      </c>
      <c r="U49" s="45">
        <f t="shared" si="9"/>
        <v>5.2945300000000004E-3</v>
      </c>
      <c r="V49" s="45">
        <f t="shared" si="8"/>
        <v>5.2945300000000004E-3</v>
      </c>
      <c r="W49" s="45">
        <f t="shared" si="8"/>
        <v>5.2945300000000004E-3</v>
      </c>
      <c r="X49" s="45">
        <f t="shared" si="8"/>
        <v>5.2945300000000004E-3</v>
      </c>
      <c r="Y49" s="45">
        <f t="shared" si="8"/>
        <v>5.2680573500000008E-3</v>
      </c>
      <c r="Z49" s="45">
        <f t="shared" si="8"/>
        <v>5.2415847000000003E-3</v>
      </c>
      <c r="AA49" s="45">
        <f t="shared" si="8"/>
        <v>5.1886394000000002E-3</v>
      </c>
      <c r="AB49" s="45">
        <f t="shared" si="8"/>
        <v>5.1356941000000001E-3</v>
      </c>
      <c r="AC49" s="45">
        <f t="shared" si="8"/>
        <v>5.0827488000000001E-3</v>
      </c>
      <c r="AD49" s="45">
        <f t="shared" si="8"/>
        <v>5.0298035E-3</v>
      </c>
      <c r="AE49" s="45">
        <f t="shared" si="8"/>
        <v>4.9768581999999999E-3</v>
      </c>
      <c r="AF49" s="45">
        <f t="shared" si="8"/>
        <v>4.9239128999999998E-3</v>
      </c>
      <c r="AG49" s="45">
        <f t="shared" si="8"/>
        <v>4.8709676000000006E-3</v>
      </c>
      <c r="AH49" s="45">
        <f t="shared" si="8"/>
        <v>4.8180223000000005E-3</v>
      </c>
      <c r="AI49" s="45">
        <f t="shared" si="8"/>
        <v>4.7650770000000004E-3</v>
      </c>
      <c r="AJ49" s="45">
        <f t="shared" si="8"/>
        <v>4.7121317000000003E-3</v>
      </c>
    </row>
    <row r="50" spans="1:36">
      <c r="A50" t="s">
        <v>29</v>
      </c>
      <c r="B50" s="50" t="s">
        <v>68</v>
      </c>
      <c r="C50" s="45">
        <v>5.2945300000000004E-3</v>
      </c>
      <c r="D50" s="45">
        <v>5.2945300000000004E-3</v>
      </c>
      <c r="E50" s="45">
        <v>5.2945300000000004E-3</v>
      </c>
      <c r="F50" s="45">
        <v>5.2945300000000004E-3</v>
      </c>
      <c r="G50" s="45">
        <v>5.2945300000000004E-3</v>
      </c>
      <c r="H50" s="45">
        <v>5.2945300000000004E-3</v>
      </c>
      <c r="I50" s="45">
        <v>5.2945300000000004E-3</v>
      </c>
      <c r="J50" s="45">
        <f t="shared" si="9"/>
        <v>5.2945300000000004E-3</v>
      </c>
      <c r="K50" s="45">
        <f t="shared" si="9"/>
        <v>5.2945300000000004E-3</v>
      </c>
      <c r="L50" s="45">
        <f t="shared" si="9"/>
        <v>5.2945300000000004E-3</v>
      </c>
      <c r="M50" s="45">
        <f t="shared" si="9"/>
        <v>5.2945300000000004E-3</v>
      </c>
      <c r="N50" s="45">
        <f t="shared" si="9"/>
        <v>5.2945300000000004E-3</v>
      </c>
      <c r="O50" s="45">
        <f t="shared" si="9"/>
        <v>5.2945300000000004E-3</v>
      </c>
      <c r="P50" s="45">
        <f t="shared" si="9"/>
        <v>5.2945300000000004E-3</v>
      </c>
      <c r="Q50" s="45">
        <f t="shared" si="9"/>
        <v>5.2945300000000004E-3</v>
      </c>
      <c r="R50" s="45">
        <f t="shared" si="9"/>
        <v>5.2945300000000004E-3</v>
      </c>
      <c r="S50" s="45">
        <f t="shared" si="9"/>
        <v>5.2945300000000004E-3</v>
      </c>
      <c r="T50" s="45">
        <f t="shared" si="9"/>
        <v>5.2945300000000004E-3</v>
      </c>
      <c r="U50" s="45">
        <f t="shared" si="9"/>
        <v>5.2945300000000004E-3</v>
      </c>
      <c r="V50" s="45">
        <f t="shared" si="8"/>
        <v>5.2945300000000004E-3</v>
      </c>
      <c r="W50" s="45">
        <f t="shared" si="8"/>
        <v>5.2945300000000004E-3</v>
      </c>
      <c r="X50" s="45">
        <f t="shared" si="8"/>
        <v>5.2945300000000004E-3</v>
      </c>
      <c r="Y50" s="45">
        <f t="shared" si="8"/>
        <v>5.2680573500000008E-3</v>
      </c>
      <c r="Z50" s="45">
        <f t="shared" si="8"/>
        <v>5.2415847000000003E-3</v>
      </c>
      <c r="AA50" s="45">
        <f t="shared" si="8"/>
        <v>5.1886394000000002E-3</v>
      </c>
      <c r="AB50" s="45">
        <f t="shared" si="8"/>
        <v>5.1356941000000001E-3</v>
      </c>
      <c r="AC50" s="45">
        <f t="shared" si="8"/>
        <v>5.0827488000000001E-3</v>
      </c>
      <c r="AD50" s="45">
        <f t="shared" si="8"/>
        <v>5.0298035E-3</v>
      </c>
      <c r="AE50" s="45">
        <f t="shared" si="8"/>
        <v>4.9768581999999999E-3</v>
      </c>
      <c r="AF50" s="45">
        <f t="shared" si="8"/>
        <v>4.9239128999999998E-3</v>
      </c>
      <c r="AG50" s="45">
        <f t="shared" si="8"/>
        <v>4.8709676000000006E-3</v>
      </c>
      <c r="AH50" s="45">
        <f t="shared" si="8"/>
        <v>4.8180223000000005E-3</v>
      </c>
      <c r="AI50" s="45">
        <f t="shared" si="8"/>
        <v>4.7650770000000004E-3</v>
      </c>
      <c r="AJ50" s="45">
        <f t="shared" si="8"/>
        <v>4.7121317000000003E-3</v>
      </c>
    </row>
    <row r="51" spans="1:36">
      <c r="A51" t="s">
        <v>30</v>
      </c>
      <c r="B51" s="51" t="s">
        <v>71</v>
      </c>
      <c r="C51" s="45">
        <v>5.2945300000000004E-3</v>
      </c>
      <c r="D51" s="45">
        <v>5.2945300000000004E-3</v>
      </c>
      <c r="E51" s="45">
        <v>5.2945300000000004E-3</v>
      </c>
      <c r="F51" s="45">
        <v>5.2945300000000004E-3</v>
      </c>
      <c r="G51" s="45">
        <v>5.2945300000000004E-3</v>
      </c>
      <c r="H51" s="45">
        <v>5.2945300000000004E-3</v>
      </c>
      <c r="I51" s="45">
        <v>5.2945300000000004E-3</v>
      </c>
      <c r="J51" s="45">
        <f t="shared" si="9"/>
        <v>5.2945300000000004E-3</v>
      </c>
      <c r="K51" s="45">
        <f t="shared" si="9"/>
        <v>5.2945300000000004E-3</v>
      </c>
      <c r="L51" s="45">
        <f t="shared" si="9"/>
        <v>5.2945300000000004E-3</v>
      </c>
      <c r="M51" s="45">
        <f t="shared" si="9"/>
        <v>5.2945300000000004E-3</v>
      </c>
      <c r="N51" s="45">
        <f t="shared" si="9"/>
        <v>5.2945300000000004E-3</v>
      </c>
      <c r="O51" s="45">
        <f t="shared" si="9"/>
        <v>5.2945300000000004E-3</v>
      </c>
      <c r="P51" s="45">
        <f t="shared" si="9"/>
        <v>5.2945300000000004E-3</v>
      </c>
      <c r="Q51" s="45">
        <f t="shared" si="9"/>
        <v>5.2945300000000004E-3</v>
      </c>
      <c r="R51" s="45">
        <f t="shared" si="9"/>
        <v>5.2945300000000004E-3</v>
      </c>
      <c r="S51" s="45">
        <f t="shared" si="9"/>
        <v>5.2945300000000004E-3</v>
      </c>
      <c r="T51" s="45">
        <f t="shared" si="9"/>
        <v>5.2945300000000004E-3</v>
      </c>
      <c r="U51" s="45">
        <f t="shared" si="9"/>
        <v>5.2945300000000004E-3</v>
      </c>
      <c r="V51" s="45">
        <f t="shared" si="8"/>
        <v>5.2945300000000004E-3</v>
      </c>
      <c r="W51" s="45">
        <f t="shared" si="8"/>
        <v>5.2945300000000004E-3</v>
      </c>
      <c r="X51" s="45">
        <f t="shared" si="8"/>
        <v>5.2945300000000004E-3</v>
      </c>
      <c r="Y51" s="45">
        <f t="shared" si="8"/>
        <v>5.2680573500000008E-3</v>
      </c>
      <c r="Z51" s="45">
        <f t="shared" si="8"/>
        <v>5.2415847000000003E-3</v>
      </c>
      <c r="AA51" s="45">
        <f t="shared" si="8"/>
        <v>5.1886394000000002E-3</v>
      </c>
      <c r="AB51" s="45">
        <f t="shared" si="8"/>
        <v>5.1356941000000001E-3</v>
      </c>
      <c r="AC51" s="45">
        <f t="shared" si="8"/>
        <v>5.0827488000000001E-3</v>
      </c>
      <c r="AD51" s="45">
        <f t="shared" si="8"/>
        <v>5.0298035E-3</v>
      </c>
      <c r="AE51" s="45">
        <f t="shared" si="8"/>
        <v>4.9768581999999999E-3</v>
      </c>
      <c r="AF51" s="45">
        <f t="shared" si="8"/>
        <v>4.9239128999999998E-3</v>
      </c>
      <c r="AG51" s="45">
        <f t="shared" si="8"/>
        <v>4.8709676000000006E-3</v>
      </c>
      <c r="AH51" s="45">
        <f t="shared" si="8"/>
        <v>4.8180223000000005E-3</v>
      </c>
      <c r="AI51" s="45">
        <f t="shared" si="8"/>
        <v>4.7650770000000004E-3</v>
      </c>
      <c r="AJ51" s="45">
        <f t="shared" si="8"/>
        <v>4.7121317000000003E-3</v>
      </c>
    </row>
    <row r="52" spans="1:36">
      <c r="A52" t="s">
        <v>31</v>
      </c>
      <c r="B52" s="50" t="s">
        <v>68</v>
      </c>
      <c r="C52" s="45">
        <v>5.2945300000000004E-3</v>
      </c>
      <c r="D52" s="45">
        <v>5.2945300000000004E-3</v>
      </c>
      <c r="E52" s="45">
        <v>5.2945300000000004E-3</v>
      </c>
      <c r="F52" s="45">
        <v>5.2945300000000004E-3</v>
      </c>
      <c r="G52" s="45">
        <v>5.2945300000000004E-3</v>
      </c>
      <c r="H52" s="45">
        <v>5.2945300000000004E-3</v>
      </c>
      <c r="I52" s="45">
        <v>5.2945300000000004E-3</v>
      </c>
      <c r="J52" s="45">
        <f t="shared" si="9"/>
        <v>5.2945300000000004E-3</v>
      </c>
      <c r="K52" s="45">
        <f t="shared" si="9"/>
        <v>5.2945300000000004E-3</v>
      </c>
      <c r="L52" s="45">
        <f t="shared" si="9"/>
        <v>5.2945300000000004E-3</v>
      </c>
      <c r="M52" s="45">
        <f t="shared" si="9"/>
        <v>5.2945300000000004E-3</v>
      </c>
      <c r="N52" s="45">
        <f t="shared" si="9"/>
        <v>5.2945300000000004E-3</v>
      </c>
      <c r="O52" s="45">
        <f t="shared" si="9"/>
        <v>5.2945300000000004E-3</v>
      </c>
      <c r="P52" s="45">
        <f t="shared" si="9"/>
        <v>5.2945300000000004E-3</v>
      </c>
      <c r="Q52" s="45">
        <f t="shared" si="9"/>
        <v>5.2945300000000004E-3</v>
      </c>
      <c r="R52" s="45">
        <f t="shared" si="9"/>
        <v>5.2945300000000004E-3</v>
      </c>
      <c r="S52" s="45">
        <f t="shared" si="9"/>
        <v>5.2945300000000004E-3</v>
      </c>
      <c r="T52" s="45">
        <f t="shared" si="9"/>
        <v>5.2945300000000004E-3</v>
      </c>
      <c r="U52" s="45">
        <f t="shared" si="9"/>
        <v>5.2945300000000004E-3</v>
      </c>
      <c r="V52" s="45">
        <f t="shared" si="8"/>
        <v>5.2945300000000004E-3</v>
      </c>
      <c r="W52" s="45">
        <f t="shared" si="8"/>
        <v>5.2945300000000004E-3</v>
      </c>
      <c r="X52" s="45">
        <f t="shared" si="8"/>
        <v>5.2945300000000004E-3</v>
      </c>
      <c r="Y52" s="45">
        <f t="shared" si="8"/>
        <v>5.2680573500000008E-3</v>
      </c>
      <c r="Z52" s="45">
        <f t="shared" si="8"/>
        <v>5.2415847000000003E-3</v>
      </c>
      <c r="AA52" s="45">
        <f t="shared" si="8"/>
        <v>5.1886394000000002E-3</v>
      </c>
      <c r="AB52" s="45">
        <f t="shared" si="8"/>
        <v>5.1356941000000001E-3</v>
      </c>
      <c r="AC52" s="45">
        <f t="shared" si="8"/>
        <v>5.0827488000000001E-3</v>
      </c>
      <c r="AD52" s="45">
        <f t="shared" si="8"/>
        <v>5.0298035E-3</v>
      </c>
      <c r="AE52" s="45">
        <f t="shared" si="8"/>
        <v>4.9768581999999999E-3</v>
      </c>
      <c r="AF52" s="45">
        <f t="shared" si="8"/>
        <v>4.9239128999999998E-3</v>
      </c>
      <c r="AG52" s="45">
        <f t="shared" si="8"/>
        <v>4.8709676000000006E-3</v>
      </c>
      <c r="AH52" s="45">
        <f t="shared" si="8"/>
        <v>4.8180223000000005E-3</v>
      </c>
      <c r="AI52" s="45">
        <f t="shared" si="8"/>
        <v>4.7650770000000004E-3</v>
      </c>
      <c r="AJ52" s="45">
        <f t="shared" si="8"/>
        <v>4.7121317000000003E-3</v>
      </c>
    </row>
    <row r="53" spans="1:36">
      <c r="A53" t="s">
        <v>32</v>
      </c>
      <c r="B53" s="50" t="s">
        <v>68</v>
      </c>
      <c r="C53" s="45">
        <v>5.2945300000000004E-3</v>
      </c>
      <c r="D53" s="45">
        <v>5.2945300000000004E-3</v>
      </c>
      <c r="E53" s="45">
        <v>5.2945300000000004E-3</v>
      </c>
      <c r="F53" s="45">
        <v>5.2945300000000004E-3</v>
      </c>
      <c r="G53" s="45">
        <v>5.2945300000000004E-3</v>
      </c>
      <c r="H53" s="45">
        <v>5.2945300000000004E-3</v>
      </c>
      <c r="I53" s="45">
        <v>5.2945300000000004E-3</v>
      </c>
      <c r="J53" s="45">
        <f t="shared" si="9"/>
        <v>5.2945300000000004E-3</v>
      </c>
      <c r="K53" s="45">
        <f t="shared" si="9"/>
        <v>5.2945300000000004E-3</v>
      </c>
      <c r="L53" s="45">
        <f t="shared" si="9"/>
        <v>5.2945300000000004E-3</v>
      </c>
      <c r="M53" s="45">
        <f t="shared" si="9"/>
        <v>5.2945300000000004E-3</v>
      </c>
      <c r="N53" s="45">
        <f t="shared" si="9"/>
        <v>5.2945300000000004E-3</v>
      </c>
      <c r="O53" s="45">
        <f t="shared" si="9"/>
        <v>5.2945300000000004E-3</v>
      </c>
      <c r="P53" s="45">
        <f t="shared" si="9"/>
        <v>5.2945300000000004E-3</v>
      </c>
      <c r="Q53" s="45">
        <f t="shared" si="9"/>
        <v>5.2945300000000004E-3</v>
      </c>
      <c r="R53" s="45">
        <f t="shared" si="9"/>
        <v>5.2945300000000004E-3</v>
      </c>
      <c r="S53" s="45">
        <f t="shared" si="9"/>
        <v>5.2945300000000004E-3</v>
      </c>
      <c r="T53" s="45">
        <f t="shared" si="9"/>
        <v>5.2945300000000004E-3</v>
      </c>
      <c r="U53" s="45">
        <f t="shared" si="9"/>
        <v>5.2945300000000004E-3</v>
      </c>
      <c r="V53" s="45">
        <f t="shared" si="8"/>
        <v>5.2945300000000004E-3</v>
      </c>
      <c r="W53" s="45">
        <f t="shared" si="8"/>
        <v>5.2945300000000004E-3</v>
      </c>
      <c r="X53" s="45">
        <f t="shared" si="8"/>
        <v>5.2945300000000004E-3</v>
      </c>
      <c r="Y53" s="45">
        <f t="shared" si="8"/>
        <v>5.2680573500000008E-3</v>
      </c>
      <c r="Z53" s="45">
        <f t="shared" si="8"/>
        <v>5.2415847000000003E-3</v>
      </c>
      <c r="AA53" s="45">
        <f t="shared" si="8"/>
        <v>5.1886394000000002E-3</v>
      </c>
      <c r="AB53" s="45">
        <f t="shared" si="8"/>
        <v>5.1356941000000001E-3</v>
      </c>
      <c r="AC53" s="45">
        <f t="shared" si="8"/>
        <v>5.0827488000000001E-3</v>
      </c>
      <c r="AD53" s="45">
        <f t="shared" si="8"/>
        <v>5.0298035E-3</v>
      </c>
      <c r="AE53" s="45">
        <f t="shared" si="8"/>
        <v>4.9768581999999999E-3</v>
      </c>
      <c r="AF53" s="45">
        <f t="shared" si="8"/>
        <v>4.9239128999999998E-3</v>
      </c>
      <c r="AG53" s="45">
        <f t="shared" si="8"/>
        <v>4.8709676000000006E-3</v>
      </c>
      <c r="AH53" s="45">
        <f t="shared" si="8"/>
        <v>4.8180223000000005E-3</v>
      </c>
      <c r="AI53" s="45">
        <f t="shared" si="8"/>
        <v>4.7650770000000004E-3</v>
      </c>
      <c r="AJ53" s="45">
        <f t="shared" si="8"/>
        <v>4.7121317000000003E-3</v>
      </c>
    </row>
    <row r="54" spans="1:36">
      <c r="A54" t="s">
        <v>96</v>
      </c>
      <c r="D54">
        <f>0.00045359702440352/1000</f>
        <v>4.5359702440351997E-7</v>
      </c>
      <c r="X54" s="29"/>
    </row>
    <row r="56" spans="1:36">
      <c r="A56" t="s">
        <v>94</v>
      </c>
      <c r="E56">
        <v>2014</v>
      </c>
      <c r="F56">
        <v>2015</v>
      </c>
      <c r="G56">
        <v>2016</v>
      </c>
      <c r="H56">
        <v>2017</v>
      </c>
      <c r="I56">
        <v>2018</v>
      </c>
      <c r="J56">
        <v>2019</v>
      </c>
      <c r="K56">
        <v>2020</v>
      </c>
      <c r="L56">
        <v>2021</v>
      </c>
      <c r="M56">
        <v>2022</v>
      </c>
      <c r="N56">
        <v>2023</v>
      </c>
      <c r="O56">
        <v>2024</v>
      </c>
      <c r="P56">
        <v>2025</v>
      </c>
      <c r="Q56">
        <v>2026</v>
      </c>
      <c r="R56">
        <v>2027</v>
      </c>
      <c r="S56">
        <v>2028</v>
      </c>
      <c r="T56">
        <v>2029</v>
      </c>
      <c r="U56">
        <v>2030</v>
      </c>
      <c r="V56">
        <v>2031</v>
      </c>
      <c r="W56">
        <v>2032</v>
      </c>
      <c r="X56">
        <v>2033</v>
      </c>
      <c r="Y56">
        <v>2034</v>
      </c>
      <c r="Z56">
        <v>2035</v>
      </c>
      <c r="AA56">
        <v>2036</v>
      </c>
      <c r="AB56">
        <v>2037</v>
      </c>
      <c r="AC56">
        <v>2038</v>
      </c>
      <c r="AD56">
        <v>2039</v>
      </c>
      <c r="AE56">
        <v>2040</v>
      </c>
      <c r="AF56">
        <v>2041</v>
      </c>
      <c r="AG56">
        <v>2042</v>
      </c>
      <c r="AH56">
        <v>2043</v>
      </c>
      <c r="AI56">
        <v>2044</v>
      </c>
      <c r="AJ56">
        <v>2045</v>
      </c>
    </row>
    <row r="57" spans="1:36">
      <c r="A57" t="s">
        <v>67</v>
      </c>
      <c r="E57" s="44">
        <v>0.36</v>
      </c>
      <c r="F57" s="29">
        <f t="shared" ref="F57:I57" si="10">($K$57-$E$57)/6+E57</f>
        <v>0.375</v>
      </c>
      <c r="G57" s="29">
        <f t="shared" si="10"/>
        <v>0.39</v>
      </c>
      <c r="H57" s="29">
        <f t="shared" si="10"/>
        <v>0.40500000000000003</v>
      </c>
      <c r="I57" s="29">
        <f t="shared" si="10"/>
        <v>0.42000000000000004</v>
      </c>
      <c r="J57" s="29">
        <f>($K$57-$E$57)/6+I57</f>
        <v>0.43500000000000005</v>
      </c>
      <c r="K57" s="44">
        <v>0.45</v>
      </c>
      <c r="L57" s="29">
        <f>($U57-$K57)/10+K57</f>
        <v>0.46500000000000002</v>
      </c>
      <c r="M57" s="29">
        <f t="shared" ref="M57:T57" si="11">($U57-$K57)/10+L57</f>
        <v>0.48000000000000004</v>
      </c>
      <c r="N57" s="29">
        <f t="shared" si="11"/>
        <v>0.49500000000000005</v>
      </c>
      <c r="O57" s="29">
        <f t="shared" si="11"/>
        <v>0.51</v>
      </c>
      <c r="P57" s="29">
        <f t="shared" si="11"/>
        <v>0.52500000000000002</v>
      </c>
      <c r="Q57" s="29">
        <f t="shared" si="11"/>
        <v>0.54</v>
      </c>
      <c r="R57" s="29">
        <f t="shared" si="11"/>
        <v>0.55500000000000005</v>
      </c>
      <c r="S57" s="29">
        <f t="shared" si="11"/>
        <v>0.57000000000000006</v>
      </c>
      <c r="T57" s="29">
        <f t="shared" si="11"/>
        <v>0.58500000000000008</v>
      </c>
      <c r="U57" s="29">
        <v>0.6</v>
      </c>
      <c r="V57" s="29">
        <f>(($AJ57-$U57)/($AJ$56-$U$56))+U57</f>
        <v>0.62666666666666659</v>
      </c>
      <c r="W57" s="29">
        <f t="shared" ref="W57:AI57" si="12">(($AJ57-$U57)/($AJ$56-$U$56))+V57</f>
        <v>0.65333333333333321</v>
      </c>
      <c r="X57" s="29">
        <f t="shared" si="12"/>
        <v>0.67999999999999983</v>
      </c>
      <c r="Y57" s="29">
        <f t="shared" si="12"/>
        <v>0.70666666666666644</v>
      </c>
      <c r="Z57" s="29">
        <f t="shared" si="12"/>
        <v>0.73333333333333306</v>
      </c>
      <c r="AA57" s="29">
        <f t="shared" si="12"/>
        <v>0.75999999999999968</v>
      </c>
      <c r="AB57" s="29">
        <f t="shared" si="12"/>
        <v>0.78666666666666629</v>
      </c>
      <c r="AC57" s="29">
        <f t="shared" si="12"/>
        <v>0.81333333333333291</v>
      </c>
      <c r="AD57" s="29">
        <f t="shared" si="12"/>
        <v>0.83999999999999952</v>
      </c>
      <c r="AE57" s="29">
        <f t="shared" si="12"/>
        <v>0.86666666666666614</v>
      </c>
      <c r="AF57" s="29">
        <f t="shared" si="12"/>
        <v>0.89333333333333276</v>
      </c>
      <c r="AG57" s="29">
        <f t="shared" si="12"/>
        <v>0.91999999999999937</v>
      </c>
      <c r="AH57" s="29">
        <f t="shared" si="12"/>
        <v>0.94666666666666599</v>
      </c>
      <c r="AI57" s="29">
        <f t="shared" si="12"/>
        <v>0.97333333333333261</v>
      </c>
      <c r="AJ57" s="29">
        <v>1</v>
      </c>
    </row>
    <row r="58" spans="1:36">
      <c r="A58" t="s">
        <v>68</v>
      </c>
      <c r="E58" s="44">
        <v>0.28000000000000003</v>
      </c>
      <c r="F58" s="29">
        <f>($K$58-$E$58)/6+E58</f>
        <v>0.29500000000000004</v>
      </c>
      <c r="G58" s="29">
        <f>($K$58-$E$58)/6+F58</f>
        <v>0.31000000000000005</v>
      </c>
      <c r="H58" s="29">
        <f>($K$58-$E$58)/6+G58</f>
        <v>0.32500000000000007</v>
      </c>
      <c r="I58" s="29">
        <f>($K$58-$E$58)/6+H58</f>
        <v>0.34000000000000008</v>
      </c>
      <c r="J58" s="29">
        <f>($K$58-$E$58)/6+I58</f>
        <v>0.35500000000000009</v>
      </c>
      <c r="K58" s="44">
        <v>0.37</v>
      </c>
      <c r="L58" s="29">
        <f t="shared" ref="L58:T63" si="13">($U58-$K58)/10+K58</f>
        <v>0.40299999999999997</v>
      </c>
      <c r="M58" s="29">
        <f t="shared" si="13"/>
        <v>0.43599999999999994</v>
      </c>
      <c r="N58" s="29">
        <f t="shared" si="13"/>
        <v>0.46899999999999992</v>
      </c>
      <c r="O58" s="29">
        <f t="shared" si="13"/>
        <v>0.50199999999999989</v>
      </c>
      <c r="P58" s="29">
        <f t="shared" si="13"/>
        <v>0.53499999999999992</v>
      </c>
      <c r="Q58" s="29">
        <f t="shared" si="13"/>
        <v>0.56799999999999995</v>
      </c>
      <c r="R58" s="29">
        <f t="shared" si="13"/>
        <v>0.60099999999999998</v>
      </c>
      <c r="S58" s="29">
        <f t="shared" si="13"/>
        <v>0.63400000000000001</v>
      </c>
      <c r="T58" s="29">
        <f t="shared" si="13"/>
        <v>0.66700000000000004</v>
      </c>
      <c r="U58" s="29">
        <v>0.7</v>
      </c>
      <c r="V58" s="29">
        <f t="shared" ref="V58:AC58" si="14">(($AE58-$U58)/($AE$56-$U$56))+U58</f>
        <v>0.73</v>
      </c>
      <c r="W58" s="29">
        <f t="shared" si="14"/>
        <v>0.76</v>
      </c>
      <c r="X58" s="29">
        <f t="shared" si="14"/>
        <v>0.79</v>
      </c>
      <c r="Y58" s="29">
        <f t="shared" si="14"/>
        <v>0.82000000000000006</v>
      </c>
      <c r="Z58" s="29">
        <f t="shared" si="14"/>
        <v>0.85000000000000009</v>
      </c>
      <c r="AA58" s="29">
        <f t="shared" si="14"/>
        <v>0.88000000000000012</v>
      </c>
      <c r="AB58" s="29">
        <f t="shared" si="14"/>
        <v>0.91000000000000014</v>
      </c>
      <c r="AC58" s="29">
        <f t="shared" si="14"/>
        <v>0.94000000000000017</v>
      </c>
      <c r="AD58" s="29">
        <f>(($AE58-$U58)/($AE$56-$U$56))+AC58</f>
        <v>0.9700000000000002</v>
      </c>
      <c r="AE58" s="29">
        <v>1</v>
      </c>
      <c r="AF58" s="29">
        <v>1</v>
      </c>
      <c r="AG58" s="29">
        <v>1</v>
      </c>
      <c r="AH58" s="29">
        <v>1</v>
      </c>
      <c r="AI58" s="29">
        <v>1</v>
      </c>
      <c r="AJ58" s="29">
        <v>1</v>
      </c>
    </row>
    <row r="59" spans="1:36">
      <c r="A59" t="s">
        <v>69</v>
      </c>
      <c r="E59" s="44">
        <v>0.23200000000000001</v>
      </c>
      <c r="F59" s="29">
        <f>($K59-$E59)/6+E59</f>
        <v>0.25483333333333336</v>
      </c>
      <c r="G59" s="29">
        <f t="shared" ref="G59:J59" si="15">($K59-$E59)/6+F59</f>
        <v>0.27766666666666667</v>
      </c>
      <c r="H59" s="29">
        <f t="shared" si="15"/>
        <v>0.30049999999999999</v>
      </c>
      <c r="I59" s="29">
        <f t="shared" si="15"/>
        <v>0.32333333333333331</v>
      </c>
      <c r="J59" s="29">
        <f t="shared" si="15"/>
        <v>0.34616666666666662</v>
      </c>
      <c r="K59" s="44">
        <v>0.36899999999999999</v>
      </c>
      <c r="L59" s="29">
        <f t="shared" si="13"/>
        <v>0.3921</v>
      </c>
      <c r="M59" s="29">
        <f t="shared" si="13"/>
        <v>0.41520000000000001</v>
      </c>
      <c r="N59" s="29">
        <f t="shared" si="13"/>
        <v>0.43830000000000002</v>
      </c>
      <c r="O59" s="29">
        <f t="shared" si="13"/>
        <v>0.46140000000000003</v>
      </c>
      <c r="P59" s="29">
        <f t="shared" si="13"/>
        <v>0.48450000000000004</v>
      </c>
      <c r="Q59" s="29">
        <f t="shared" si="13"/>
        <v>0.50760000000000005</v>
      </c>
      <c r="R59" s="29">
        <f t="shared" si="13"/>
        <v>0.53070000000000006</v>
      </c>
      <c r="S59" s="29">
        <f t="shared" si="13"/>
        <v>0.55380000000000007</v>
      </c>
      <c r="T59" s="29">
        <f t="shared" si="13"/>
        <v>0.57690000000000008</v>
      </c>
      <c r="U59" s="29">
        <v>0.6</v>
      </c>
      <c r="V59" s="29">
        <f t="shared" ref="V59:AI59" si="16">(($AJ59-$U59)/($AJ$56-$U$56))+U59</f>
        <v>0.62666666666666659</v>
      </c>
      <c r="W59" s="29">
        <f t="shared" si="16"/>
        <v>0.65333333333333321</v>
      </c>
      <c r="X59" s="29">
        <f t="shared" si="16"/>
        <v>0.67999999999999983</v>
      </c>
      <c r="Y59" s="29">
        <f t="shared" si="16"/>
        <v>0.70666666666666644</v>
      </c>
      <c r="Z59" s="29">
        <f t="shared" si="16"/>
        <v>0.73333333333333306</v>
      </c>
      <c r="AA59" s="29">
        <f t="shared" si="16"/>
        <v>0.75999999999999968</v>
      </c>
      <c r="AB59" s="29">
        <f t="shared" si="16"/>
        <v>0.78666666666666629</v>
      </c>
      <c r="AC59" s="29">
        <f t="shared" si="16"/>
        <v>0.81333333333333291</v>
      </c>
      <c r="AD59" s="29">
        <f t="shared" si="16"/>
        <v>0.83999999999999952</v>
      </c>
      <c r="AE59" s="29">
        <f t="shared" si="16"/>
        <v>0.86666666666666614</v>
      </c>
      <c r="AF59" s="29">
        <f t="shared" si="16"/>
        <v>0.89333333333333276</v>
      </c>
      <c r="AG59" s="29">
        <f t="shared" si="16"/>
        <v>0.91999999999999937</v>
      </c>
      <c r="AH59" s="29">
        <f t="shared" si="16"/>
        <v>0.94666666666666599</v>
      </c>
      <c r="AI59" s="29">
        <f t="shared" si="16"/>
        <v>0.97333333333333261</v>
      </c>
      <c r="AJ59" s="29">
        <v>1</v>
      </c>
    </row>
    <row r="60" spans="1:36">
      <c r="A60" t="s">
        <v>70</v>
      </c>
      <c r="E60" s="44">
        <v>0.2</v>
      </c>
      <c r="F60" s="44">
        <v>0.2</v>
      </c>
      <c r="G60" s="44">
        <v>0.25</v>
      </c>
      <c r="H60" s="29">
        <f>($K60-$G60)/4+G60</f>
        <v>0.27</v>
      </c>
      <c r="I60" s="29">
        <f t="shared" ref="I60:J60" si="17">($K60-$G60)/4+H60</f>
        <v>0.29000000000000004</v>
      </c>
      <c r="J60" s="29">
        <f t="shared" si="17"/>
        <v>0.31000000000000005</v>
      </c>
      <c r="K60" s="44">
        <v>0.33</v>
      </c>
      <c r="L60" s="29">
        <f>($Z60-$K60)/15+K60</f>
        <v>0.3746666666666667</v>
      </c>
      <c r="M60" s="29">
        <f t="shared" ref="M60:U60" si="18">($Z60-$K60)/15+L60</f>
        <v>0.41933333333333334</v>
      </c>
      <c r="N60" s="29">
        <f t="shared" si="18"/>
        <v>0.46399999999999997</v>
      </c>
      <c r="O60" s="29">
        <f t="shared" si="18"/>
        <v>0.5086666666666666</v>
      </c>
      <c r="P60" s="29">
        <f t="shared" si="18"/>
        <v>0.55333333333333323</v>
      </c>
      <c r="Q60" s="29">
        <f t="shared" si="18"/>
        <v>0.59799999999999986</v>
      </c>
      <c r="R60" s="29">
        <f t="shared" si="18"/>
        <v>0.6426666666666665</v>
      </c>
      <c r="S60" s="29">
        <f t="shared" si="18"/>
        <v>0.68733333333333313</v>
      </c>
      <c r="T60" s="29">
        <f t="shared" si="18"/>
        <v>0.73199999999999976</v>
      </c>
      <c r="U60" s="29">
        <f t="shared" si="18"/>
        <v>0.77666666666666639</v>
      </c>
      <c r="V60" s="29">
        <f>(($Z60-$U60)/($Z$56-$U$56))+U60</f>
        <v>0.82133333333333314</v>
      </c>
      <c r="W60" s="29">
        <f t="shared" ref="W60:Y60" si="19">(($Z60-$U60)/($Z$56-$U$56))+V60</f>
        <v>0.86599999999999988</v>
      </c>
      <c r="X60" s="29">
        <f t="shared" si="19"/>
        <v>0.91066666666666662</v>
      </c>
      <c r="Y60" s="29">
        <f t="shared" si="19"/>
        <v>0.95533333333333337</v>
      </c>
      <c r="Z60" s="29">
        <v>1</v>
      </c>
      <c r="AA60" s="29">
        <v>1</v>
      </c>
      <c r="AB60" s="29">
        <v>1</v>
      </c>
      <c r="AC60" s="29">
        <v>1</v>
      </c>
      <c r="AD60" s="29">
        <v>1</v>
      </c>
      <c r="AE60" s="29">
        <v>1</v>
      </c>
      <c r="AF60" s="29">
        <v>1</v>
      </c>
      <c r="AG60" s="29">
        <v>1</v>
      </c>
      <c r="AH60" s="29">
        <v>1</v>
      </c>
      <c r="AI60" s="29">
        <v>1</v>
      </c>
      <c r="AJ60" s="29">
        <v>1</v>
      </c>
    </row>
    <row r="61" spans="1:36">
      <c r="A61" t="s">
        <v>71</v>
      </c>
      <c r="E61" s="44">
        <v>0.36399999999999999</v>
      </c>
      <c r="F61" s="29">
        <f>($K61-$E61)/6+E61</f>
        <v>0.37516666666666665</v>
      </c>
      <c r="G61" s="29">
        <f t="shared" ref="G61:J63" si="20">($K61-$E61)/6+F61</f>
        <v>0.38633333333333331</v>
      </c>
      <c r="H61" s="29">
        <f t="shared" si="20"/>
        <v>0.39749999999999996</v>
      </c>
      <c r="I61" s="29">
        <f t="shared" si="20"/>
        <v>0.40866666666666662</v>
      </c>
      <c r="J61" s="29">
        <f t="shared" si="20"/>
        <v>0.41983333333333328</v>
      </c>
      <c r="K61" s="44">
        <v>0.43099999999999999</v>
      </c>
      <c r="L61" s="29">
        <f t="shared" si="13"/>
        <v>0.44789999999999996</v>
      </c>
      <c r="M61" s="29">
        <f t="shared" si="13"/>
        <v>0.46479999999999999</v>
      </c>
      <c r="N61" s="29">
        <f t="shared" si="13"/>
        <v>0.48170000000000002</v>
      </c>
      <c r="O61" s="29">
        <f t="shared" si="13"/>
        <v>0.49860000000000004</v>
      </c>
      <c r="P61" s="29">
        <f t="shared" si="13"/>
        <v>0.51550000000000007</v>
      </c>
      <c r="Q61" s="29">
        <f t="shared" si="13"/>
        <v>0.5324000000000001</v>
      </c>
      <c r="R61" s="29">
        <f t="shared" si="13"/>
        <v>0.54930000000000012</v>
      </c>
      <c r="S61" s="29">
        <f t="shared" si="13"/>
        <v>0.56620000000000015</v>
      </c>
      <c r="T61" s="29">
        <f t="shared" si="13"/>
        <v>0.58310000000000017</v>
      </c>
      <c r="U61" s="29">
        <v>0.6</v>
      </c>
      <c r="V61" s="29">
        <f t="shared" ref="V61:AI62" si="21">(($AJ61-$U61)/($AJ$56-$U$56))+U61</f>
        <v>0.62666666666666659</v>
      </c>
      <c r="W61" s="29">
        <f t="shared" si="21"/>
        <v>0.65333333333333321</v>
      </c>
      <c r="X61" s="29">
        <f t="shared" si="21"/>
        <v>0.67999999999999983</v>
      </c>
      <c r="Y61" s="29">
        <f t="shared" si="21"/>
        <v>0.70666666666666644</v>
      </c>
      <c r="Z61" s="29">
        <f t="shared" si="21"/>
        <v>0.73333333333333306</v>
      </c>
      <c r="AA61" s="29">
        <f t="shared" si="21"/>
        <v>0.75999999999999968</v>
      </c>
      <c r="AB61" s="29">
        <f t="shared" si="21"/>
        <v>0.78666666666666629</v>
      </c>
      <c r="AC61" s="29">
        <f t="shared" si="21"/>
        <v>0.81333333333333291</v>
      </c>
      <c r="AD61" s="29">
        <f t="shared" si="21"/>
        <v>0.83999999999999952</v>
      </c>
      <c r="AE61" s="29">
        <f t="shared" si="21"/>
        <v>0.86666666666666614</v>
      </c>
      <c r="AF61" s="29">
        <f t="shared" si="21"/>
        <v>0.89333333333333276</v>
      </c>
      <c r="AG61" s="29">
        <f t="shared" si="21"/>
        <v>0.91999999999999937</v>
      </c>
      <c r="AH61" s="29">
        <f t="shared" si="21"/>
        <v>0.94666666666666599</v>
      </c>
      <c r="AI61" s="29">
        <f t="shared" si="21"/>
        <v>0.97333333333333261</v>
      </c>
      <c r="AJ61" s="29">
        <v>1</v>
      </c>
    </row>
    <row r="62" spans="1:36">
      <c r="A62" t="s">
        <v>72</v>
      </c>
      <c r="E62" s="44">
        <v>0.2</v>
      </c>
      <c r="F62" s="29">
        <f>($H62-$E62)/3+E62</f>
        <v>0.22333333333333336</v>
      </c>
      <c r="G62" s="29">
        <f>($H62-$E62)/3+F62</f>
        <v>0.2466666666666667</v>
      </c>
      <c r="H62" s="29">
        <v>0.27</v>
      </c>
      <c r="I62" s="29">
        <v>0.28999999999999998</v>
      </c>
      <c r="J62" s="29">
        <v>0.31</v>
      </c>
      <c r="K62" s="44">
        <v>0.33</v>
      </c>
      <c r="L62" s="29">
        <f t="shared" si="13"/>
        <v>0.35699999999999998</v>
      </c>
      <c r="M62" s="29">
        <f t="shared" si="13"/>
        <v>0.38400000000000001</v>
      </c>
      <c r="N62" s="29">
        <f t="shared" si="13"/>
        <v>0.41100000000000003</v>
      </c>
      <c r="O62" s="29">
        <f t="shared" si="13"/>
        <v>0.43800000000000006</v>
      </c>
      <c r="P62" s="29">
        <f t="shared" si="13"/>
        <v>0.46500000000000008</v>
      </c>
      <c r="Q62" s="29">
        <f t="shared" si="13"/>
        <v>0.4920000000000001</v>
      </c>
      <c r="R62" s="29">
        <f t="shared" si="13"/>
        <v>0.51900000000000013</v>
      </c>
      <c r="S62" s="29">
        <f t="shared" si="13"/>
        <v>0.54600000000000015</v>
      </c>
      <c r="T62" s="29">
        <f t="shared" si="13"/>
        <v>0.57300000000000018</v>
      </c>
      <c r="U62" s="29">
        <v>0.6</v>
      </c>
      <c r="V62" s="29">
        <f t="shared" si="21"/>
        <v>0.62666666666666659</v>
      </c>
      <c r="W62" s="29">
        <f t="shared" si="21"/>
        <v>0.65333333333333321</v>
      </c>
      <c r="X62" s="29">
        <f t="shared" si="21"/>
        <v>0.67999999999999983</v>
      </c>
      <c r="Y62" s="29">
        <f t="shared" si="21"/>
        <v>0.70666666666666644</v>
      </c>
      <c r="Z62" s="29">
        <f t="shared" si="21"/>
        <v>0.73333333333333306</v>
      </c>
      <c r="AA62" s="29">
        <f t="shared" si="21"/>
        <v>0.75999999999999968</v>
      </c>
      <c r="AB62" s="29">
        <f t="shared" si="21"/>
        <v>0.78666666666666629</v>
      </c>
      <c r="AC62" s="29">
        <f t="shared" si="21"/>
        <v>0.81333333333333291</v>
      </c>
      <c r="AD62" s="29">
        <f t="shared" si="21"/>
        <v>0.83999999999999952</v>
      </c>
      <c r="AE62" s="29">
        <f t="shared" si="21"/>
        <v>0.86666666666666614</v>
      </c>
      <c r="AF62" s="29">
        <f t="shared" si="21"/>
        <v>0.89333333333333276</v>
      </c>
      <c r="AG62" s="29">
        <f t="shared" si="21"/>
        <v>0.91999999999999937</v>
      </c>
      <c r="AH62" s="29">
        <f t="shared" si="21"/>
        <v>0.94666666666666599</v>
      </c>
      <c r="AI62" s="29">
        <f t="shared" si="21"/>
        <v>0.97333333333333261</v>
      </c>
      <c r="AJ62" s="29">
        <v>1</v>
      </c>
    </row>
    <row r="63" spans="1:36">
      <c r="A63" t="s">
        <v>73</v>
      </c>
      <c r="E63" s="44">
        <v>0.24</v>
      </c>
      <c r="F63" s="29">
        <f>($K63-$E63)/6+E63</f>
        <v>0.26166666666666666</v>
      </c>
      <c r="G63" s="29">
        <f t="shared" si="20"/>
        <v>0.28333333333333333</v>
      </c>
      <c r="H63" s="29">
        <f t="shared" si="20"/>
        <v>0.30499999999999999</v>
      </c>
      <c r="I63" s="29">
        <f t="shared" si="20"/>
        <v>0.32666666666666666</v>
      </c>
      <c r="J63" s="29">
        <f t="shared" si="20"/>
        <v>0.34833333333333333</v>
      </c>
      <c r="K63" s="44">
        <v>0.37</v>
      </c>
      <c r="L63" s="29">
        <f t="shared" si="13"/>
        <v>0.433</v>
      </c>
      <c r="M63" s="29">
        <f t="shared" si="13"/>
        <v>0.496</v>
      </c>
      <c r="N63" s="29">
        <f t="shared" si="13"/>
        <v>0.55899999999999994</v>
      </c>
      <c r="O63" s="29">
        <f t="shared" si="13"/>
        <v>0.62199999999999989</v>
      </c>
      <c r="P63" s="29">
        <f t="shared" si="13"/>
        <v>0.68499999999999983</v>
      </c>
      <c r="Q63" s="29">
        <f t="shared" si="13"/>
        <v>0.74799999999999978</v>
      </c>
      <c r="R63" s="29">
        <f t="shared" si="13"/>
        <v>0.81099999999999972</v>
      </c>
      <c r="S63" s="29">
        <f t="shared" si="13"/>
        <v>0.87399999999999967</v>
      </c>
      <c r="T63" s="29">
        <f t="shared" si="13"/>
        <v>0.93699999999999961</v>
      </c>
      <c r="U63" s="29">
        <v>1</v>
      </c>
      <c r="V63" s="29">
        <v>1</v>
      </c>
      <c r="W63" s="29">
        <v>1</v>
      </c>
      <c r="X63" s="29">
        <v>1</v>
      </c>
      <c r="Y63" s="29">
        <v>1</v>
      </c>
      <c r="Z63" s="29">
        <v>1</v>
      </c>
      <c r="AA63" s="29">
        <v>1</v>
      </c>
      <c r="AB63" s="29">
        <v>1</v>
      </c>
      <c r="AC63" s="29">
        <v>1</v>
      </c>
      <c r="AD63" s="29">
        <v>1</v>
      </c>
      <c r="AE63" s="29">
        <v>1</v>
      </c>
      <c r="AF63" s="29">
        <v>1</v>
      </c>
      <c r="AG63" s="29">
        <v>1</v>
      </c>
      <c r="AH63" s="29">
        <v>1</v>
      </c>
      <c r="AI63" s="29">
        <v>1</v>
      </c>
      <c r="AJ63" s="29">
        <v>1</v>
      </c>
    </row>
    <row r="68" spans="1:36">
      <c r="A68" t="s">
        <v>95</v>
      </c>
      <c r="E68">
        <v>2014</v>
      </c>
      <c r="F68">
        <v>2015</v>
      </c>
      <c r="G68">
        <v>2016</v>
      </c>
      <c r="H68">
        <v>2017</v>
      </c>
      <c r="I68">
        <v>2018</v>
      </c>
      <c r="J68">
        <v>2019</v>
      </c>
      <c r="K68">
        <v>2020</v>
      </c>
      <c r="L68">
        <v>2021</v>
      </c>
      <c r="M68">
        <v>2022</v>
      </c>
      <c r="N68">
        <v>2023</v>
      </c>
      <c r="O68">
        <v>2024</v>
      </c>
      <c r="P68">
        <v>2025</v>
      </c>
      <c r="Q68">
        <v>2026</v>
      </c>
      <c r="R68">
        <v>2027</v>
      </c>
      <c r="S68">
        <v>2028</v>
      </c>
      <c r="T68">
        <v>2029</v>
      </c>
      <c r="U68">
        <v>2030</v>
      </c>
      <c r="V68">
        <v>2031</v>
      </c>
      <c r="W68">
        <v>2032</v>
      </c>
      <c r="X68">
        <v>2033</v>
      </c>
      <c r="Y68">
        <v>2034</v>
      </c>
      <c r="Z68">
        <v>2035</v>
      </c>
      <c r="AA68">
        <v>2036</v>
      </c>
      <c r="AB68">
        <v>2037</v>
      </c>
      <c r="AC68">
        <v>2038</v>
      </c>
      <c r="AD68">
        <v>2039</v>
      </c>
      <c r="AE68">
        <v>2040</v>
      </c>
      <c r="AF68">
        <v>2041</v>
      </c>
      <c r="AG68">
        <v>2042</v>
      </c>
      <c r="AH68">
        <v>2043</v>
      </c>
      <c r="AI68">
        <v>2044</v>
      </c>
      <c r="AJ68">
        <v>2045</v>
      </c>
    </row>
    <row r="69" spans="1:36">
      <c r="A69" t="s">
        <v>83</v>
      </c>
      <c r="I69" s="42"/>
      <c r="J69" s="42"/>
      <c r="K69" s="29"/>
      <c r="L69" s="42"/>
      <c r="M69" s="29"/>
      <c r="N69" s="29"/>
      <c r="O69" s="29"/>
      <c r="P69" s="29"/>
      <c r="Q69" s="29"/>
      <c r="R69" s="29"/>
      <c r="S69" s="29"/>
      <c r="T69" s="29"/>
      <c r="U69" s="29"/>
      <c r="Y69" s="42">
        <v>5.0000000000000001E-3</v>
      </c>
      <c r="Z69" s="29">
        <f>Y69+0.005</f>
        <v>0.01</v>
      </c>
      <c r="AA69" s="29">
        <f t="shared" ref="AA69:AA72" si="22">Z69+0.01</f>
        <v>0.02</v>
      </c>
      <c r="AB69" s="29">
        <f t="shared" ref="AB69:AB72" si="23">AA69+0.01</f>
        <v>0.03</v>
      </c>
      <c r="AC69" s="29">
        <f t="shared" ref="AC69:AC72" si="24">AB69+0.01</f>
        <v>0.04</v>
      </c>
      <c r="AD69" s="29">
        <f t="shared" ref="AD69:AD72" si="25">AC69+0.01</f>
        <v>0.05</v>
      </c>
      <c r="AE69" s="29">
        <f t="shared" ref="AE69:AE72" si="26">AD69+0.01</f>
        <v>6.0000000000000005E-2</v>
      </c>
      <c r="AF69" s="29">
        <f t="shared" ref="AF69:AF72" si="27">AE69+0.01</f>
        <v>7.0000000000000007E-2</v>
      </c>
      <c r="AG69" s="29">
        <f t="shared" ref="AG69:AG72" si="28">AF69+0.01</f>
        <v>0.08</v>
      </c>
      <c r="AH69" s="29">
        <f t="shared" ref="AH69:AH72" si="29">AG69+0.01</f>
        <v>0.09</v>
      </c>
      <c r="AI69" s="29">
        <f t="shared" ref="AI69:AI72" si="30">AH69+0.01</f>
        <v>9.9999999999999992E-2</v>
      </c>
      <c r="AJ69" s="29">
        <f t="shared" ref="AJ69:AJ72" si="31">AI69+0.01</f>
        <v>0.10999999999999999</v>
      </c>
    </row>
    <row r="70" spans="1:36">
      <c r="A70" t="s">
        <v>71</v>
      </c>
      <c r="I70" s="42"/>
      <c r="J70" s="42"/>
      <c r="K70" s="29"/>
      <c r="L70" s="42"/>
      <c r="M70" s="29"/>
      <c r="N70" s="29"/>
      <c r="O70" s="29"/>
      <c r="P70" s="29"/>
      <c r="Q70" s="29"/>
      <c r="R70" s="29"/>
      <c r="S70" s="29"/>
      <c r="T70" s="29"/>
      <c r="U70" s="29"/>
      <c r="Y70" s="42">
        <v>5.0000000000000001E-3</v>
      </c>
      <c r="Z70" s="29">
        <f t="shared" ref="Z70:Z72" si="32">Y70+0.005</f>
        <v>0.01</v>
      </c>
      <c r="AA70" s="29">
        <f t="shared" si="22"/>
        <v>0.02</v>
      </c>
      <c r="AB70" s="29">
        <f t="shared" si="23"/>
        <v>0.03</v>
      </c>
      <c r="AC70" s="29">
        <f t="shared" si="24"/>
        <v>0.04</v>
      </c>
      <c r="AD70" s="29">
        <f t="shared" si="25"/>
        <v>0.05</v>
      </c>
      <c r="AE70" s="29">
        <f t="shared" si="26"/>
        <v>6.0000000000000005E-2</v>
      </c>
      <c r="AF70" s="29">
        <f t="shared" si="27"/>
        <v>7.0000000000000007E-2</v>
      </c>
      <c r="AG70" s="29">
        <f t="shared" si="28"/>
        <v>0.08</v>
      </c>
      <c r="AH70" s="29">
        <f t="shared" si="29"/>
        <v>0.09</v>
      </c>
      <c r="AI70" s="29">
        <f t="shared" si="30"/>
        <v>9.9999999999999992E-2</v>
      </c>
      <c r="AJ70" s="29">
        <f t="shared" si="31"/>
        <v>0.10999999999999999</v>
      </c>
    </row>
    <row r="71" spans="1:36">
      <c r="A71" t="s">
        <v>68</v>
      </c>
      <c r="I71" s="42"/>
      <c r="J71" s="42"/>
      <c r="K71" s="29"/>
      <c r="L71" s="42"/>
      <c r="M71" s="29"/>
      <c r="N71" s="29"/>
      <c r="O71" s="29"/>
      <c r="P71" s="29"/>
      <c r="Q71" s="29"/>
      <c r="R71" s="29"/>
      <c r="S71" s="29"/>
      <c r="T71" s="29"/>
      <c r="U71" s="29"/>
      <c r="Y71" s="42">
        <v>5.0000000000000001E-3</v>
      </c>
      <c r="Z71" s="29">
        <f t="shared" si="32"/>
        <v>0.01</v>
      </c>
      <c r="AA71" s="29">
        <f t="shared" si="22"/>
        <v>0.02</v>
      </c>
      <c r="AB71" s="29">
        <f t="shared" si="23"/>
        <v>0.03</v>
      </c>
      <c r="AC71" s="29">
        <f t="shared" si="24"/>
        <v>0.04</v>
      </c>
      <c r="AD71" s="29">
        <f t="shared" si="25"/>
        <v>0.05</v>
      </c>
      <c r="AE71" s="29">
        <f t="shared" si="26"/>
        <v>6.0000000000000005E-2</v>
      </c>
      <c r="AF71" s="29">
        <f t="shared" si="27"/>
        <v>7.0000000000000007E-2</v>
      </c>
      <c r="AG71" s="29">
        <f t="shared" si="28"/>
        <v>0.08</v>
      </c>
      <c r="AH71" s="29">
        <f t="shared" si="29"/>
        <v>0.09</v>
      </c>
      <c r="AI71" s="29">
        <f t="shared" si="30"/>
        <v>9.9999999999999992E-2</v>
      </c>
      <c r="AJ71" s="29">
        <f t="shared" si="31"/>
        <v>0.10999999999999999</v>
      </c>
    </row>
    <row r="72" spans="1:36">
      <c r="A72" t="s">
        <v>84</v>
      </c>
      <c r="I72" s="42"/>
      <c r="J72" s="42"/>
      <c r="K72" s="29"/>
      <c r="L72" s="42"/>
      <c r="M72" s="29"/>
      <c r="N72" s="29"/>
      <c r="O72" s="29"/>
      <c r="P72" s="29"/>
      <c r="Q72" s="29"/>
      <c r="R72" s="29"/>
      <c r="S72" s="29"/>
      <c r="T72" s="29"/>
      <c r="U72" s="29"/>
      <c r="Y72" s="42">
        <v>5.0000000000000001E-3</v>
      </c>
      <c r="Z72" s="29">
        <f t="shared" si="32"/>
        <v>0.01</v>
      </c>
      <c r="AA72" s="29">
        <f t="shared" si="22"/>
        <v>0.02</v>
      </c>
      <c r="AB72" s="29">
        <f t="shared" si="23"/>
        <v>0.03</v>
      </c>
      <c r="AC72" s="29">
        <f t="shared" si="24"/>
        <v>0.04</v>
      </c>
      <c r="AD72" s="29">
        <f t="shared" si="25"/>
        <v>0.05</v>
      </c>
      <c r="AE72" s="29">
        <f t="shared" si="26"/>
        <v>6.0000000000000005E-2</v>
      </c>
      <c r="AF72" s="29">
        <f t="shared" si="27"/>
        <v>7.0000000000000007E-2</v>
      </c>
      <c r="AG72" s="29">
        <f t="shared" si="28"/>
        <v>0.08</v>
      </c>
      <c r="AH72" s="29">
        <f t="shared" si="29"/>
        <v>0.09</v>
      </c>
      <c r="AI72" s="29">
        <f t="shared" si="30"/>
        <v>9.9999999999999992E-2</v>
      </c>
      <c r="AJ72" s="29">
        <f t="shared" si="31"/>
        <v>0.10999999999999999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5"/>
  <sheetViews>
    <sheetView workbookViewId="0">
      <selection activeCell="F2" sqref="F2"/>
    </sheetView>
  </sheetViews>
  <sheetFormatPr defaultRowHeight="14.5"/>
  <cols>
    <col min="1" max="1" width="18" bestFit="1" customWidth="1"/>
    <col min="2" max="2" width="12.7265625" bestFit="1" customWidth="1"/>
    <col min="3" max="4" width="12.7265625" customWidth="1"/>
    <col min="5" max="5" width="18.7265625" bestFit="1" customWidth="1"/>
    <col min="6" max="6" width="12.81640625" bestFit="1" customWidth="1"/>
  </cols>
  <sheetData>
    <row r="1" spans="1:14" ht="43.5">
      <c r="A1" t="s">
        <v>8</v>
      </c>
      <c r="B1" s="43" t="s">
        <v>61</v>
      </c>
      <c r="C1" s="43" t="s">
        <v>153</v>
      </c>
      <c r="D1" s="43" t="s">
        <v>154</v>
      </c>
      <c r="E1" s="43" t="s">
        <v>62</v>
      </c>
      <c r="F1" s="43" t="s">
        <v>63</v>
      </c>
    </row>
    <row r="2" spans="1:14">
      <c r="A2" t="s">
        <v>9</v>
      </c>
      <c r="B2" s="25" t="s">
        <v>54</v>
      </c>
      <c r="C2" s="8">
        <v>39468.550519878103</v>
      </c>
      <c r="D2" s="8">
        <v>18250.3106007186</v>
      </c>
      <c r="E2">
        <f>C2/SUM($C2:$D2)</f>
        <v>0.68380681381452169</v>
      </c>
      <c r="F2">
        <f>D2/SUM($C2:$D2)</f>
        <v>0.31619318618547831</v>
      </c>
      <c r="J2">
        <v>47698457882.704994</v>
      </c>
      <c r="K2">
        <v>19589400000</v>
      </c>
      <c r="L2">
        <v>1039704</v>
      </c>
      <c r="M2">
        <f>J2/$L2</f>
        <v>45876.959098652114</v>
      </c>
      <c r="N2">
        <f>K2/$L2</f>
        <v>18841.324069158145</v>
      </c>
    </row>
    <row r="3" spans="1:14">
      <c r="A3" t="s">
        <v>10</v>
      </c>
      <c r="B3" s="25" t="s">
        <v>47</v>
      </c>
      <c r="C3" s="8">
        <v>44116.183986361197</v>
      </c>
      <c r="D3" s="8">
        <v>11638.764711764701</v>
      </c>
      <c r="E3">
        <f t="shared" ref="E3:E25" si="0">C3/SUM($C3:$D3)</f>
        <v>0.79125144971829353</v>
      </c>
      <c r="F3">
        <f t="shared" ref="F3:F25" si="1">D3/SUM($C3:$D3)</f>
        <v>0.20874855028170652</v>
      </c>
      <c r="J3">
        <v>9920700492</v>
      </c>
      <c r="K3">
        <v>3407256679.0049648</v>
      </c>
      <c r="L3">
        <v>170000</v>
      </c>
      <c r="M3">
        <f t="shared" ref="M3:M25" si="2">J3/$L3</f>
        <v>58357.061717647062</v>
      </c>
      <c r="N3">
        <f t="shared" ref="N3:N25" si="3">K3/$L3</f>
        <v>20042.686347088027</v>
      </c>
    </row>
    <row r="4" spans="1:14">
      <c r="A4" t="s">
        <v>11</v>
      </c>
      <c r="B4" s="25" t="s">
        <v>47</v>
      </c>
      <c r="C4" s="8">
        <v>30663.3818640469</v>
      </c>
      <c r="D4" s="8">
        <v>35275.264902570794</v>
      </c>
      <c r="E4">
        <f t="shared" si="0"/>
        <v>0.4650289832694996</v>
      </c>
      <c r="F4">
        <f t="shared" si="1"/>
        <v>0.53497101673050051</v>
      </c>
      <c r="J4">
        <v>30909578230.399998</v>
      </c>
      <c r="K4">
        <v>10148700000</v>
      </c>
      <c r="L4">
        <v>1154528</v>
      </c>
      <c r="M4">
        <f t="shared" si="2"/>
        <v>26772.480381939629</v>
      </c>
      <c r="N4">
        <f t="shared" si="3"/>
        <v>8790.3454918373573</v>
      </c>
    </row>
    <row r="5" spans="1:14">
      <c r="A5" t="s">
        <v>12</v>
      </c>
      <c r="B5" s="25" t="s">
        <v>52</v>
      </c>
      <c r="C5" s="8">
        <v>33501.0853005061</v>
      </c>
      <c r="D5" s="8">
        <v>39751.0885945021</v>
      </c>
      <c r="E5">
        <f t="shared" si="0"/>
        <v>0.45733912755303291</v>
      </c>
      <c r="F5">
        <f t="shared" si="1"/>
        <v>0.54266087244696715</v>
      </c>
      <c r="J5">
        <v>86039942993.420395</v>
      </c>
      <c r="K5">
        <v>78351000000</v>
      </c>
      <c r="L5">
        <v>2707144</v>
      </c>
      <c r="M5">
        <f t="shared" si="2"/>
        <v>31782.551276703565</v>
      </c>
      <c r="N5">
        <f t="shared" si="3"/>
        <v>28942.309681346836</v>
      </c>
    </row>
    <row r="6" spans="1:14">
      <c r="A6" t="s">
        <v>13</v>
      </c>
      <c r="B6" s="25" t="s">
        <v>49</v>
      </c>
      <c r="C6" s="8">
        <v>37710.8562223798</v>
      </c>
      <c r="D6" s="8">
        <v>22827.5760424978</v>
      </c>
      <c r="E6">
        <f t="shared" si="0"/>
        <v>0.62292422865166253</v>
      </c>
      <c r="F6">
        <f t="shared" si="1"/>
        <v>0.37707577134833742</v>
      </c>
      <c r="J6">
        <v>57904328656</v>
      </c>
      <c r="K6">
        <v>94235000000</v>
      </c>
      <c r="L6">
        <v>1474844</v>
      </c>
      <c r="M6">
        <f t="shared" si="2"/>
        <v>39261.32435430459</v>
      </c>
      <c r="N6">
        <f t="shared" si="3"/>
        <v>63894.893290409018</v>
      </c>
    </row>
    <row r="7" spans="1:14">
      <c r="A7" t="s">
        <v>14</v>
      </c>
      <c r="B7" s="25" t="s">
        <v>44</v>
      </c>
      <c r="C7" s="8">
        <v>31793.549724029799</v>
      </c>
      <c r="D7" s="8">
        <v>39634.725091222695</v>
      </c>
      <c r="E7">
        <f t="shared" si="0"/>
        <v>0.44511154450059237</v>
      </c>
      <c r="F7">
        <f t="shared" si="1"/>
        <v>0.55488845549940768</v>
      </c>
      <c r="J7">
        <v>62896621418.192001</v>
      </c>
      <c r="K7">
        <v>51556200000</v>
      </c>
      <c r="L7">
        <v>1572251</v>
      </c>
      <c r="M7">
        <f t="shared" si="2"/>
        <v>40004.185984421063</v>
      </c>
      <c r="N7">
        <f t="shared" si="3"/>
        <v>32791.329119841554</v>
      </c>
    </row>
    <row r="8" spans="1:14">
      <c r="A8" t="s">
        <v>15</v>
      </c>
      <c r="B8" s="25" t="s">
        <v>54</v>
      </c>
      <c r="C8" s="8">
        <v>42613.804927902696</v>
      </c>
      <c r="D8" s="8">
        <v>39045.1795632789</v>
      </c>
      <c r="E8">
        <f t="shared" si="0"/>
        <v>0.5218507821696533</v>
      </c>
      <c r="F8">
        <f t="shared" si="1"/>
        <v>0.47814921783034686</v>
      </c>
      <c r="J8">
        <v>135668350785.1228</v>
      </c>
      <c r="K8">
        <v>118484100000</v>
      </c>
      <c r="L8">
        <v>3185255</v>
      </c>
      <c r="M8">
        <f t="shared" si="2"/>
        <v>42592.618419913888</v>
      </c>
      <c r="N8">
        <f t="shared" si="3"/>
        <v>37197.681190359952</v>
      </c>
    </row>
    <row r="9" spans="1:14">
      <c r="A9" t="s">
        <v>16</v>
      </c>
      <c r="B9" s="25" t="s">
        <v>49</v>
      </c>
      <c r="C9" s="8">
        <v>5211.2212058022196</v>
      </c>
      <c r="D9" s="8">
        <v>95431.412762702195</v>
      </c>
      <c r="E9">
        <f t="shared" si="0"/>
        <v>5.1779459661529172E-2</v>
      </c>
      <c r="F9">
        <f t="shared" si="1"/>
        <v>0.94822054033847092</v>
      </c>
      <c r="J9">
        <v>155252960855.32001</v>
      </c>
      <c r="K9">
        <v>75450400000</v>
      </c>
      <c r="L9">
        <v>4007619.08</v>
      </c>
      <c r="M9">
        <f t="shared" si="2"/>
        <v>38739.450470756819</v>
      </c>
      <c r="N9">
        <f t="shared" si="3"/>
        <v>18826.739391609044</v>
      </c>
    </row>
    <row r="10" spans="1:14">
      <c r="A10" t="s">
        <v>17</v>
      </c>
      <c r="B10" s="25" t="s">
        <v>42</v>
      </c>
      <c r="C10" s="8">
        <v>21340.726080328397</v>
      </c>
      <c r="D10" s="8">
        <v>42161.259484119299</v>
      </c>
      <c r="E10">
        <f t="shared" si="0"/>
        <v>0.33606391816945397</v>
      </c>
      <c r="F10">
        <f t="shared" si="1"/>
        <v>0.66393608183054609</v>
      </c>
      <c r="J10">
        <v>54091250546.76001</v>
      </c>
      <c r="K10">
        <v>62634200000</v>
      </c>
      <c r="L10">
        <v>1986903</v>
      </c>
      <c r="M10">
        <f t="shared" si="2"/>
        <v>27223.900989006514</v>
      </c>
      <c r="N10">
        <f t="shared" si="3"/>
        <v>31523.531848308648</v>
      </c>
    </row>
    <row r="11" spans="1:14">
      <c r="A11" t="s">
        <v>18</v>
      </c>
      <c r="B11" s="25" t="s">
        <v>47</v>
      </c>
      <c r="C11" s="8">
        <v>37184.051966681604</v>
      </c>
      <c r="D11" s="8">
        <v>27238.916058856699</v>
      </c>
      <c r="E11">
        <f t="shared" si="0"/>
        <v>0.57718625990564809</v>
      </c>
      <c r="F11">
        <f t="shared" si="1"/>
        <v>0.42281374009435202</v>
      </c>
      <c r="J11">
        <v>189074477014</v>
      </c>
      <c r="K11">
        <v>104194000000</v>
      </c>
      <c r="L11">
        <v>4156980.8</v>
      </c>
      <c r="M11">
        <f t="shared" si="2"/>
        <v>45483.606037824378</v>
      </c>
      <c r="N11">
        <f t="shared" si="3"/>
        <v>25064.825894793645</v>
      </c>
    </row>
    <row r="12" spans="1:14">
      <c r="A12" t="s">
        <v>19</v>
      </c>
      <c r="B12" s="25" t="s">
        <v>50</v>
      </c>
      <c r="C12" s="8">
        <v>35353.435820363302</v>
      </c>
      <c r="D12" s="8">
        <v>17673.688828262802</v>
      </c>
      <c r="E12">
        <f t="shared" si="0"/>
        <v>0.66670474883610875</v>
      </c>
      <c r="F12">
        <f t="shared" si="1"/>
        <v>0.33329525116389114</v>
      </c>
      <c r="J12">
        <v>134566744884</v>
      </c>
      <c r="K12">
        <v>70159300000</v>
      </c>
      <c r="L12">
        <v>3096076.93</v>
      </c>
      <c r="M12">
        <f t="shared" si="2"/>
        <v>43463.630887233798</v>
      </c>
      <c r="N12">
        <f t="shared" si="3"/>
        <v>22660.70953217561</v>
      </c>
    </row>
    <row r="13" spans="1:14">
      <c r="A13" t="s">
        <v>20</v>
      </c>
      <c r="B13" s="25" t="s">
        <v>44</v>
      </c>
      <c r="C13" s="8">
        <v>23090.1059166501</v>
      </c>
      <c r="D13" s="8">
        <v>36132.700235118398</v>
      </c>
      <c r="E13">
        <f t="shared" si="0"/>
        <v>0.38988537384530181</v>
      </c>
      <c r="F13">
        <f t="shared" si="1"/>
        <v>0.61011462615469825</v>
      </c>
      <c r="J13">
        <v>12730721263.248201</v>
      </c>
      <c r="K13">
        <v>12827636000</v>
      </c>
      <c r="L13">
        <v>657998</v>
      </c>
      <c r="M13">
        <f t="shared" si="2"/>
        <v>19347.65951150034</v>
      </c>
      <c r="N13">
        <f t="shared" si="3"/>
        <v>19494.946793151346</v>
      </c>
    </row>
    <row r="14" spans="1:14">
      <c r="A14" t="s">
        <v>21</v>
      </c>
      <c r="B14" s="25" t="s">
        <v>44</v>
      </c>
      <c r="C14" s="8">
        <v>25358.0246423709</v>
      </c>
      <c r="D14" s="8">
        <v>39661.0417388481</v>
      </c>
      <c r="E14">
        <f t="shared" si="0"/>
        <v>0.39000905509304051</v>
      </c>
      <c r="F14">
        <f t="shared" si="1"/>
        <v>0.60999094490695949</v>
      </c>
      <c r="J14">
        <v>48238145246.279999</v>
      </c>
      <c r="K14">
        <v>62598012000</v>
      </c>
      <c r="L14">
        <v>1325489</v>
      </c>
      <c r="M14">
        <f t="shared" si="2"/>
        <v>36392.716383372477</v>
      </c>
      <c r="N14">
        <f t="shared" si="3"/>
        <v>47226.353443898821</v>
      </c>
    </row>
    <row r="15" spans="1:14">
      <c r="A15" t="s">
        <v>22</v>
      </c>
      <c r="B15" s="25" t="s">
        <v>50</v>
      </c>
      <c r="C15" s="8">
        <v>35275.681261114303</v>
      </c>
      <c r="D15" s="8">
        <v>20638.445558027001</v>
      </c>
      <c r="E15">
        <f t="shared" si="0"/>
        <v>0.63089031820556374</v>
      </c>
      <c r="F15">
        <f t="shared" si="1"/>
        <v>0.36910968179443626</v>
      </c>
      <c r="J15">
        <v>192765972700</v>
      </c>
      <c r="K15">
        <v>83376700000</v>
      </c>
      <c r="L15">
        <v>4407161.28</v>
      </c>
      <c r="M15">
        <f t="shared" si="2"/>
        <v>43739.259911994865</v>
      </c>
      <c r="N15">
        <f t="shared" si="3"/>
        <v>18918.45900406894</v>
      </c>
    </row>
    <row r="16" spans="1:14">
      <c r="A16" t="s">
        <v>23</v>
      </c>
      <c r="B16" s="25" t="s">
        <v>50</v>
      </c>
      <c r="C16" s="8">
        <v>32276.591383080202</v>
      </c>
      <c r="D16" s="8">
        <v>22461.623009532701</v>
      </c>
      <c r="E16">
        <f t="shared" si="0"/>
        <v>0.5896537134290597</v>
      </c>
      <c r="F16">
        <f t="shared" si="1"/>
        <v>0.41034628657094024</v>
      </c>
      <c r="J16">
        <v>149525706936</v>
      </c>
      <c r="K16">
        <v>89400900000</v>
      </c>
      <c r="L16">
        <v>4149506</v>
      </c>
      <c r="M16">
        <f t="shared" si="2"/>
        <v>36034.580245455727</v>
      </c>
      <c r="N16">
        <f t="shared" si="3"/>
        <v>21544.950169972039</v>
      </c>
    </row>
    <row r="17" spans="1:14">
      <c r="A17" t="s">
        <v>24</v>
      </c>
      <c r="B17" s="25" t="s">
        <v>53</v>
      </c>
      <c r="C17" s="8">
        <v>41635.408479441699</v>
      </c>
      <c r="D17" s="8">
        <v>29353.641636620599</v>
      </c>
      <c r="E17">
        <f t="shared" si="0"/>
        <v>0.58650465686427167</v>
      </c>
      <c r="F17">
        <f t="shared" si="1"/>
        <v>0.41349534313572839</v>
      </c>
      <c r="J17">
        <v>151884372748.09601</v>
      </c>
      <c r="K17">
        <v>113877511956.60001</v>
      </c>
      <c r="L17">
        <v>3469444.41</v>
      </c>
      <c r="M17">
        <f t="shared" si="2"/>
        <v>43777.721963297285</v>
      </c>
      <c r="N17">
        <f t="shared" si="3"/>
        <v>32822.982154828649</v>
      </c>
    </row>
    <row r="18" spans="1:14">
      <c r="A18" t="s">
        <v>25</v>
      </c>
      <c r="B18" s="25" t="s">
        <v>51</v>
      </c>
      <c r="C18" s="8">
        <v>35447.2065112337</v>
      </c>
      <c r="D18" s="8">
        <v>15853.771317742501</v>
      </c>
      <c r="E18">
        <f t="shared" si="0"/>
        <v>0.69096551394020689</v>
      </c>
      <c r="F18">
        <f t="shared" si="1"/>
        <v>0.30903448605979311</v>
      </c>
      <c r="J18">
        <v>92756291368</v>
      </c>
      <c r="K18">
        <v>15730100000</v>
      </c>
      <c r="L18">
        <v>2331750.98</v>
      </c>
      <c r="M18">
        <f t="shared" si="2"/>
        <v>39779.672942605561</v>
      </c>
      <c r="N18">
        <f t="shared" si="3"/>
        <v>6746.0462694862899</v>
      </c>
    </row>
    <row r="19" spans="1:14">
      <c r="A19" t="s">
        <v>26</v>
      </c>
      <c r="B19" s="25" t="s">
        <v>48</v>
      </c>
      <c r="C19" s="8">
        <v>19964.040882017802</v>
      </c>
      <c r="D19" s="8">
        <v>15385.4453017662</v>
      </c>
      <c r="E19">
        <f t="shared" si="0"/>
        <v>0.56476184061696433</v>
      </c>
      <c r="F19">
        <f t="shared" si="1"/>
        <v>0.43523815938303573</v>
      </c>
      <c r="J19">
        <v>301784538517.22766</v>
      </c>
      <c r="K19">
        <v>160807577850</v>
      </c>
      <c r="L19">
        <v>4971981.3</v>
      </c>
      <c r="M19">
        <f t="shared" si="2"/>
        <v>60697.038123861741</v>
      </c>
      <c r="N19">
        <f t="shared" si="3"/>
        <v>32342.755965313063</v>
      </c>
    </row>
    <row r="20" spans="1:14">
      <c r="A20" t="s">
        <v>27</v>
      </c>
      <c r="B20" s="25" t="s">
        <v>44</v>
      </c>
      <c r="C20" s="8">
        <v>37092.487800912902</v>
      </c>
      <c r="D20" s="8">
        <v>54989.779624069597</v>
      </c>
      <c r="E20">
        <f t="shared" si="0"/>
        <v>0.40281900998073678</v>
      </c>
      <c r="F20">
        <f t="shared" si="1"/>
        <v>0.59718099001926317</v>
      </c>
      <c r="J20">
        <v>114437186852</v>
      </c>
      <c r="K20">
        <v>142186000000</v>
      </c>
      <c r="L20">
        <v>4418460.1500000004</v>
      </c>
      <c r="M20">
        <f t="shared" si="2"/>
        <v>25899.789285640607</v>
      </c>
      <c r="N20">
        <f t="shared" si="3"/>
        <v>32179.989220905383</v>
      </c>
    </row>
    <row r="21" spans="1:14">
      <c r="A21" t="s">
        <v>28</v>
      </c>
      <c r="B21" s="25" t="s">
        <v>44</v>
      </c>
      <c r="C21" s="8">
        <v>27118.462914209998</v>
      </c>
      <c r="D21" s="8">
        <v>36368.445530720099</v>
      </c>
      <c r="E21">
        <f t="shared" si="0"/>
        <v>0.42715047209667062</v>
      </c>
      <c r="F21">
        <f t="shared" si="1"/>
        <v>0.57284952790332933</v>
      </c>
      <c r="J21">
        <v>177941256775.15985</v>
      </c>
      <c r="K21">
        <v>141022084221.32388</v>
      </c>
      <c r="L21">
        <v>4624850.96</v>
      </c>
      <c r="M21">
        <f t="shared" si="2"/>
        <v>38475.025101167768</v>
      </c>
      <c r="N21">
        <f t="shared" si="3"/>
        <v>30492.244061703532</v>
      </c>
    </row>
    <row r="22" spans="1:14">
      <c r="A22" t="s">
        <v>29</v>
      </c>
      <c r="B22" s="25" t="s">
        <v>46</v>
      </c>
      <c r="C22" s="8">
        <v>28776.527916202798</v>
      </c>
      <c r="D22" s="8">
        <v>33756.927837513998</v>
      </c>
      <c r="E22">
        <f t="shared" si="0"/>
        <v>0.46017811696729088</v>
      </c>
      <c r="F22">
        <f t="shared" si="1"/>
        <v>0.53982188303270906</v>
      </c>
      <c r="J22">
        <v>161211983844.44681</v>
      </c>
      <c r="K22">
        <v>189660300000</v>
      </c>
      <c r="L22">
        <v>4918394.83</v>
      </c>
      <c r="M22">
        <f t="shared" si="2"/>
        <v>32777.357129022275</v>
      </c>
      <c r="N22">
        <f t="shared" si="3"/>
        <v>38561.4222841886</v>
      </c>
    </row>
    <row r="23" spans="1:14">
      <c r="A23" t="s">
        <v>30</v>
      </c>
      <c r="B23" s="25" t="s">
        <v>51</v>
      </c>
      <c r="C23" s="8">
        <v>27273.2292628613</v>
      </c>
      <c r="D23" s="8">
        <v>39296.033513158203</v>
      </c>
      <c r="E23">
        <f t="shared" si="0"/>
        <v>0.40969703021386078</v>
      </c>
      <c r="F23">
        <f t="shared" si="1"/>
        <v>0.59030296978613928</v>
      </c>
      <c r="J23">
        <v>54905296664</v>
      </c>
      <c r="K23">
        <v>31000100000</v>
      </c>
      <c r="L23">
        <v>1321560.9099999999</v>
      </c>
      <c r="M23">
        <f t="shared" si="2"/>
        <v>41545.793499597385</v>
      </c>
      <c r="N23">
        <f t="shared" si="3"/>
        <v>23457.185942341472</v>
      </c>
    </row>
    <row r="24" spans="1:14">
      <c r="A24" t="s">
        <v>31</v>
      </c>
      <c r="B24" s="25" t="s">
        <v>43</v>
      </c>
      <c r="C24" s="8">
        <v>34914.091878184503</v>
      </c>
      <c r="D24" s="8">
        <v>29622.023338383999</v>
      </c>
      <c r="E24">
        <f t="shared" si="0"/>
        <v>0.54100082970629337</v>
      </c>
      <c r="F24">
        <f t="shared" si="1"/>
        <v>0.45899917029370663</v>
      </c>
      <c r="J24">
        <v>62582968822.540794</v>
      </c>
      <c r="K24">
        <v>84551379000</v>
      </c>
      <c r="L24">
        <v>2128084</v>
      </c>
      <c r="M24">
        <f t="shared" si="2"/>
        <v>29408.129013018657</v>
      </c>
      <c r="N24">
        <f t="shared" si="3"/>
        <v>39731.222545726581</v>
      </c>
    </row>
    <row r="25" spans="1:14">
      <c r="A25" t="s">
        <v>32</v>
      </c>
      <c r="B25" s="25" t="s">
        <v>53</v>
      </c>
      <c r="C25" s="8">
        <v>49575.554696486135</v>
      </c>
      <c r="D25" s="8">
        <v>26655.739564122021</v>
      </c>
      <c r="E25">
        <f t="shared" si="0"/>
        <v>0.65033074903601451</v>
      </c>
      <c r="F25">
        <f t="shared" si="1"/>
        <v>0.34966925096398555</v>
      </c>
      <c r="J25">
        <v>55078391692.241402</v>
      </c>
      <c r="K25">
        <v>29614500000</v>
      </c>
      <c r="L25">
        <v>1110999</v>
      </c>
      <c r="M25">
        <f t="shared" si="2"/>
        <v>49575.554696486135</v>
      </c>
      <c r="N25">
        <f t="shared" si="3"/>
        <v>26655.739564122021</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27"/>
  <sheetViews>
    <sheetView workbookViewId="0">
      <selection activeCell="K4" sqref="K4"/>
    </sheetView>
  </sheetViews>
  <sheetFormatPr defaultRowHeight="14.5"/>
  <cols>
    <col min="1" max="1" width="18" bestFit="1" customWidth="1"/>
  </cols>
  <sheetData>
    <row r="1" spans="1:24">
      <c r="B1" t="s">
        <v>33</v>
      </c>
    </row>
    <row r="2" spans="1:24">
      <c r="A2" t="s">
        <v>8</v>
      </c>
      <c r="B2">
        <v>1990</v>
      </c>
      <c r="C2">
        <v>2012</v>
      </c>
      <c r="D2">
        <v>2013</v>
      </c>
      <c r="E2">
        <v>2014</v>
      </c>
      <c r="F2">
        <v>2015</v>
      </c>
      <c r="G2">
        <v>2016</v>
      </c>
      <c r="H2">
        <v>2017</v>
      </c>
      <c r="I2">
        <v>2018</v>
      </c>
      <c r="J2">
        <v>2019</v>
      </c>
      <c r="K2">
        <v>2020</v>
      </c>
      <c r="L2">
        <v>2021</v>
      </c>
      <c r="M2">
        <v>2022</v>
      </c>
    </row>
    <row r="3" spans="1:24">
      <c r="A3" t="s">
        <v>103</v>
      </c>
      <c r="B3" s="8"/>
      <c r="C3" s="8"/>
      <c r="D3" s="8"/>
      <c r="E3" s="8"/>
    </row>
    <row r="4" spans="1:24">
      <c r="A4" t="s">
        <v>9</v>
      </c>
      <c r="B4" s="8">
        <v>4297.3615403614149</v>
      </c>
      <c r="C4" s="8">
        <v>5345.4643693880962</v>
      </c>
      <c r="D4" s="8">
        <v>4261.8512911576618</v>
      </c>
      <c r="E4" s="8">
        <v>3222.2908987256678</v>
      </c>
      <c r="F4" s="8">
        <v>3250.1525799999999</v>
      </c>
      <c r="G4" s="8">
        <v>2988.4006899999999</v>
      </c>
      <c r="H4" s="8">
        <v>3805.72813</v>
      </c>
      <c r="I4" s="8">
        <v>4739.7991099999999</v>
      </c>
      <c r="J4" s="8">
        <v>4567.0601399999996</v>
      </c>
      <c r="K4" s="8"/>
      <c r="L4" s="8"/>
      <c r="M4" s="8"/>
      <c r="N4" s="8"/>
      <c r="O4" s="8"/>
      <c r="P4" s="8"/>
      <c r="Q4" s="8"/>
      <c r="S4" s="8"/>
      <c r="T4" s="8"/>
      <c r="U4" s="8"/>
      <c r="V4" s="8"/>
      <c r="W4" s="8"/>
      <c r="X4" s="8"/>
    </row>
    <row r="5" spans="1:24">
      <c r="A5" t="s">
        <v>10</v>
      </c>
      <c r="B5" s="8">
        <v>1460.8676532138434</v>
      </c>
      <c r="C5" s="8">
        <v>771.32738346055555</v>
      </c>
      <c r="D5" s="8">
        <v>891.07905443158256</v>
      </c>
      <c r="E5" s="8">
        <v>674.25333149059247</v>
      </c>
      <c r="F5" s="8">
        <v>578.83424000000002</v>
      </c>
      <c r="G5" s="8">
        <v>487.75099999999998</v>
      </c>
      <c r="H5" s="8">
        <v>645.36217999999997</v>
      </c>
      <c r="I5" s="8">
        <v>806.22760000000005</v>
      </c>
      <c r="J5" s="8">
        <v>698.27629000000002</v>
      </c>
      <c r="K5" s="8"/>
      <c r="L5" s="8"/>
      <c r="M5" s="8"/>
      <c r="N5" s="8"/>
      <c r="O5" s="8"/>
      <c r="P5" s="8"/>
      <c r="Q5" s="8"/>
      <c r="S5" s="8"/>
      <c r="T5" s="8"/>
      <c r="U5" s="8"/>
      <c r="V5" s="8"/>
    </row>
    <row r="6" spans="1:24">
      <c r="A6" t="s">
        <v>11</v>
      </c>
      <c r="B6" s="8">
        <v>7348.9104269354375</v>
      </c>
      <c r="C6" s="8">
        <v>9774.9768952921895</v>
      </c>
      <c r="D6" s="8">
        <v>9358.9598781190707</v>
      </c>
      <c r="E6" s="8">
        <v>8026.7153867781708</v>
      </c>
      <c r="F6" s="8">
        <v>9162.8291399999998</v>
      </c>
      <c r="G6" s="8">
        <v>9210.0155400000003</v>
      </c>
      <c r="H6" s="8">
        <v>8790.1896400000005</v>
      </c>
      <c r="I6" s="8">
        <v>6770.0463499999996</v>
      </c>
      <c r="J6" s="8">
        <v>5899.9246300000004</v>
      </c>
      <c r="K6" s="8"/>
      <c r="L6" s="8"/>
      <c r="M6" s="8"/>
      <c r="N6" s="8"/>
      <c r="O6" s="8"/>
      <c r="P6" s="8"/>
      <c r="Q6" s="8"/>
      <c r="S6" s="8"/>
      <c r="T6" s="8"/>
      <c r="U6" s="8"/>
      <c r="V6" s="8"/>
    </row>
    <row r="7" spans="1:24">
      <c r="A7" t="s">
        <v>12</v>
      </c>
      <c r="B7" s="8">
        <v>12838.534433591596</v>
      </c>
      <c r="C7" s="8">
        <v>14662.11302953737</v>
      </c>
      <c r="D7" s="8">
        <v>12854.532498709605</v>
      </c>
      <c r="E7" s="8">
        <v>10231.908711565622</v>
      </c>
      <c r="F7" s="8">
        <v>10217.940060000001</v>
      </c>
      <c r="G7" s="8">
        <v>9685.6979599999995</v>
      </c>
      <c r="H7" s="8">
        <v>10382.393969999999</v>
      </c>
      <c r="I7" s="8">
        <v>8673.5728999999992</v>
      </c>
      <c r="J7" s="8">
        <v>9412.0025900000001</v>
      </c>
      <c r="K7" s="8"/>
      <c r="L7" s="8"/>
      <c r="M7" s="8"/>
      <c r="N7" s="8"/>
      <c r="O7" s="8"/>
      <c r="P7" s="8"/>
      <c r="Q7" s="8"/>
      <c r="S7" s="8"/>
      <c r="T7" s="8"/>
      <c r="U7" s="8"/>
      <c r="V7" s="8"/>
    </row>
    <row r="8" spans="1:24">
      <c r="A8" t="s">
        <v>13</v>
      </c>
      <c r="B8" s="8">
        <v>7707.1101580610575</v>
      </c>
      <c r="C8" s="8">
        <v>10954.500931880608</v>
      </c>
      <c r="D8" s="8">
        <v>9736.3788685305244</v>
      </c>
      <c r="E8" s="8">
        <v>8073.9718844143372</v>
      </c>
      <c r="F8" s="8">
        <v>7228.6019900000001</v>
      </c>
      <c r="G8" s="8">
        <v>7454.8670099999999</v>
      </c>
      <c r="H8" s="8">
        <v>8570.2912400000005</v>
      </c>
      <c r="I8" s="8">
        <v>9288.2060600000004</v>
      </c>
      <c r="J8" s="8">
        <v>6976.7767199999998</v>
      </c>
      <c r="K8" s="8"/>
      <c r="L8" s="8"/>
      <c r="M8" s="8"/>
      <c r="N8" s="8"/>
      <c r="O8" s="8"/>
      <c r="P8" s="8"/>
      <c r="Q8" s="8"/>
      <c r="S8" s="8"/>
      <c r="T8" s="8"/>
      <c r="U8" s="8"/>
      <c r="V8" s="8"/>
    </row>
    <row r="9" spans="1:24">
      <c r="A9" t="s">
        <v>14</v>
      </c>
      <c r="B9" s="8">
        <v>8716.8662612592216</v>
      </c>
      <c r="C9" s="8">
        <v>10993.60471319629</v>
      </c>
      <c r="D9" s="8">
        <v>8485.3778428008081</v>
      </c>
      <c r="E9" s="8">
        <v>6063.6184904543661</v>
      </c>
      <c r="F9" s="8">
        <v>5849.1137900000003</v>
      </c>
      <c r="G9" s="8">
        <v>5810.0794100000003</v>
      </c>
      <c r="H9" s="8">
        <v>7125.1878100000004</v>
      </c>
      <c r="I9" s="8">
        <v>8645.2971199999993</v>
      </c>
      <c r="J9" s="8">
        <v>9006.6887599999991</v>
      </c>
      <c r="K9" s="8"/>
      <c r="L9" s="8"/>
      <c r="M9" s="8"/>
      <c r="N9" s="8"/>
      <c r="O9" s="8"/>
      <c r="P9" s="8"/>
      <c r="Q9" s="8"/>
      <c r="S9" s="8"/>
      <c r="T9" s="8"/>
      <c r="U9" s="8"/>
      <c r="V9" s="8"/>
    </row>
    <row r="10" spans="1:24">
      <c r="A10" t="s">
        <v>15</v>
      </c>
      <c r="B10" s="8">
        <v>21167.898263138701</v>
      </c>
      <c r="C10" s="8">
        <v>19679.04466832109</v>
      </c>
      <c r="D10" s="8">
        <v>16550.157098489679</v>
      </c>
      <c r="E10" s="8">
        <v>12819.669316179117</v>
      </c>
      <c r="F10" s="8">
        <v>12859.839970000001</v>
      </c>
      <c r="G10" s="8">
        <v>12244.792390000001</v>
      </c>
      <c r="H10" s="8">
        <v>12404.4066</v>
      </c>
      <c r="I10" s="8">
        <v>12122.500959999999</v>
      </c>
      <c r="J10" s="8">
        <v>16749.323840000001</v>
      </c>
      <c r="K10" s="8"/>
      <c r="L10" s="8"/>
      <c r="M10" s="8"/>
      <c r="N10" s="8"/>
      <c r="O10" s="8"/>
      <c r="P10" s="8"/>
      <c r="Q10" s="8"/>
      <c r="S10" s="8"/>
      <c r="T10" s="8"/>
      <c r="U10" s="8"/>
      <c r="V10" s="8"/>
    </row>
    <row r="11" spans="1:24">
      <c r="A11" t="s">
        <v>16</v>
      </c>
      <c r="B11" s="8">
        <v>22001.696983882961</v>
      </c>
      <c r="C11" s="8">
        <v>24026.148842534847</v>
      </c>
      <c r="D11" s="8">
        <v>24012.578300254449</v>
      </c>
      <c r="E11" s="8">
        <v>23393.715042083706</v>
      </c>
      <c r="F11" s="8">
        <v>41442.317649999997</v>
      </c>
      <c r="G11" s="8">
        <v>40485.803469999999</v>
      </c>
      <c r="H11" s="8">
        <v>38781.512329999998</v>
      </c>
      <c r="I11" s="8">
        <v>22410.33596</v>
      </c>
      <c r="J11" s="8">
        <v>22713.49698</v>
      </c>
      <c r="K11" s="8"/>
      <c r="L11" s="8"/>
      <c r="M11" s="8"/>
      <c r="N11" s="8"/>
      <c r="O11" s="8"/>
      <c r="P11" s="8"/>
      <c r="Q11" s="8"/>
      <c r="S11" s="8"/>
      <c r="T11" s="8"/>
      <c r="U11" s="8"/>
      <c r="V11" s="8"/>
    </row>
    <row r="12" spans="1:24">
      <c r="A12" t="s">
        <v>17</v>
      </c>
      <c r="B12" s="8">
        <v>10324.767729368234</v>
      </c>
      <c r="C12" s="8">
        <v>12122.612012197134</v>
      </c>
      <c r="D12" s="8">
        <v>9809.6583776302541</v>
      </c>
      <c r="E12" s="8">
        <v>7484.3983605223793</v>
      </c>
      <c r="F12" s="8">
        <v>8068.8377600000003</v>
      </c>
      <c r="G12" s="8">
        <v>7774.8390300000001</v>
      </c>
      <c r="H12" s="8">
        <v>8590.1531300000006</v>
      </c>
      <c r="I12" s="8">
        <v>9399.3980100000008</v>
      </c>
      <c r="J12" s="8">
        <v>8703.9095400000006</v>
      </c>
      <c r="K12" s="8"/>
      <c r="L12" s="8"/>
      <c r="M12" s="8"/>
      <c r="N12" s="8"/>
      <c r="O12" s="8"/>
      <c r="P12" s="8"/>
      <c r="Q12" s="8"/>
      <c r="S12" s="8"/>
      <c r="T12" s="8"/>
      <c r="U12" s="8"/>
      <c r="V12" s="8"/>
    </row>
    <row r="13" spans="1:24">
      <c r="A13" t="s">
        <v>18</v>
      </c>
      <c r="B13" s="8">
        <v>28277.395335604546</v>
      </c>
      <c r="C13" s="8">
        <v>19533.614967863297</v>
      </c>
      <c r="D13" s="8">
        <v>19194.342467151651</v>
      </c>
      <c r="E13" s="8">
        <v>15837.118086509889</v>
      </c>
      <c r="F13" s="8">
        <v>14769.02399</v>
      </c>
      <c r="G13" s="8">
        <v>14535.43641</v>
      </c>
      <c r="H13" s="8">
        <v>13988.05536</v>
      </c>
      <c r="I13" s="8">
        <v>13911.72388</v>
      </c>
      <c r="J13" s="8">
        <v>13946.029259999999</v>
      </c>
      <c r="K13" s="8"/>
      <c r="L13" s="8"/>
      <c r="M13" s="8"/>
      <c r="N13" s="8"/>
      <c r="O13" s="8"/>
      <c r="P13" s="8"/>
      <c r="Q13" s="8"/>
      <c r="S13" s="8"/>
      <c r="T13" s="8"/>
      <c r="U13" s="8"/>
      <c r="V13" s="8"/>
    </row>
    <row r="14" spans="1:24">
      <c r="A14" t="s">
        <v>19</v>
      </c>
      <c r="B14" s="8">
        <v>28711.687094003126</v>
      </c>
      <c r="C14" s="8">
        <v>24047.181320467422</v>
      </c>
      <c r="D14" s="8">
        <v>24473.929135324175</v>
      </c>
      <c r="E14" s="8">
        <v>23765.941291454612</v>
      </c>
      <c r="F14" s="8">
        <v>26665.522410000001</v>
      </c>
      <c r="G14" s="8">
        <v>18166.04954</v>
      </c>
      <c r="H14" s="8">
        <v>16639.931769999999</v>
      </c>
      <c r="I14" s="8">
        <v>14937.95414</v>
      </c>
      <c r="J14" s="8">
        <v>14977.67944</v>
      </c>
      <c r="K14" s="8"/>
      <c r="L14" s="8"/>
      <c r="M14" s="8"/>
      <c r="N14" s="8"/>
      <c r="O14" s="8"/>
      <c r="P14" s="8"/>
      <c r="Q14" s="8"/>
      <c r="S14" s="8"/>
      <c r="T14" s="8"/>
      <c r="U14" s="8"/>
      <c r="V14" s="8"/>
    </row>
    <row r="15" spans="1:24">
      <c r="A15" t="s">
        <v>20</v>
      </c>
      <c r="B15" s="8">
        <v>6526.5260704000011</v>
      </c>
      <c r="C15" s="8">
        <v>8968.7893496771139</v>
      </c>
      <c r="D15" s="8">
        <v>8741.4949995836614</v>
      </c>
      <c r="E15" s="8">
        <v>7680.8651868908419</v>
      </c>
      <c r="F15" s="8">
        <v>7732.1006399999997</v>
      </c>
      <c r="G15" s="8">
        <v>10571.544400000001</v>
      </c>
      <c r="H15" s="8">
        <v>8238.1592199999996</v>
      </c>
      <c r="I15" s="8">
        <v>8244.4413600000007</v>
      </c>
      <c r="J15" s="8">
        <f>2085.98798+6488</f>
        <v>8573.9879799999999</v>
      </c>
      <c r="K15" s="8"/>
      <c r="L15" s="8"/>
      <c r="M15" s="8"/>
      <c r="N15" s="8"/>
      <c r="O15" s="8"/>
      <c r="P15" s="8"/>
      <c r="Q15" s="8"/>
      <c r="S15" s="8"/>
      <c r="T15" s="8"/>
      <c r="U15" s="8"/>
      <c r="V15" s="8"/>
    </row>
    <row r="16" spans="1:24">
      <c r="A16" t="s">
        <v>21</v>
      </c>
      <c r="B16" s="8">
        <v>8026.7099127369429</v>
      </c>
      <c r="C16" s="8">
        <v>6756.8208432696256</v>
      </c>
      <c r="D16" s="8">
        <v>6346.0529500476614</v>
      </c>
      <c r="E16" s="8">
        <v>4338.021973517576</v>
      </c>
      <c r="F16" s="8">
        <v>4530.3928100000003</v>
      </c>
      <c r="G16" s="8">
        <v>4608.1439600000003</v>
      </c>
      <c r="H16" s="8">
        <v>4715.4507100000001</v>
      </c>
      <c r="I16" s="8">
        <v>4356.6973900000003</v>
      </c>
      <c r="J16" s="8">
        <v>4272.8400499999998</v>
      </c>
      <c r="K16" s="8"/>
      <c r="L16" s="8"/>
      <c r="M16" s="8"/>
      <c r="N16" s="8"/>
      <c r="O16" s="8"/>
      <c r="P16" s="8"/>
      <c r="Q16" s="8"/>
      <c r="S16" s="8"/>
      <c r="T16" s="8"/>
      <c r="U16" s="8"/>
      <c r="V16" s="8"/>
    </row>
    <row r="17" spans="1:22">
      <c r="A17" t="s">
        <v>22</v>
      </c>
      <c r="B17" s="8">
        <v>38400.595514692868</v>
      </c>
      <c r="C17" s="8">
        <v>34477.389367552409</v>
      </c>
      <c r="D17" s="8">
        <v>34205.156235045222</v>
      </c>
      <c r="E17" s="8">
        <v>34430.066016409161</v>
      </c>
      <c r="F17" s="8">
        <v>35831.448259999997</v>
      </c>
      <c r="G17" s="8">
        <v>25417.55775</v>
      </c>
      <c r="H17" s="8">
        <v>25749.80848</v>
      </c>
      <c r="I17" s="8">
        <v>24399.833999999999</v>
      </c>
      <c r="J17" s="8">
        <v>23550.611690000002</v>
      </c>
      <c r="K17" s="8"/>
      <c r="L17" s="8"/>
      <c r="M17" s="8"/>
      <c r="N17" s="8"/>
      <c r="O17" s="8"/>
      <c r="P17" s="8"/>
      <c r="Q17" s="8"/>
      <c r="S17" s="8"/>
      <c r="T17" s="8"/>
      <c r="U17" s="8"/>
      <c r="V17" s="8"/>
    </row>
    <row r="18" spans="1:22">
      <c r="A18" t="s">
        <v>23</v>
      </c>
      <c r="B18" s="8">
        <v>22408.61682372498</v>
      </c>
      <c r="C18" s="8">
        <v>14951.130722489806</v>
      </c>
      <c r="D18" s="8">
        <v>15559.529923954864</v>
      </c>
      <c r="E18" s="8">
        <v>13003.09616474052</v>
      </c>
      <c r="F18" s="8">
        <v>12163.298779999999</v>
      </c>
      <c r="G18" s="8">
        <v>12399.95775</v>
      </c>
      <c r="H18" s="8">
        <v>11117.16201</v>
      </c>
      <c r="I18" s="8">
        <v>12434.35061</v>
      </c>
      <c r="J18" s="8">
        <v>13241.195959999999</v>
      </c>
      <c r="K18" s="8"/>
      <c r="L18" s="8"/>
      <c r="M18" s="8"/>
      <c r="N18" s="8"/>
      <c r="O18" s="8"/>
      <c r="P18" s="8"/>
      <c r="Q18" s="8"/>
      <c r="S18" s="8"/>
      <c r="T18" s="8"/>
      <c r="U18" s="8"/>
      <c r="V18" s="8"/>
    </row>
    <row r="19" spans="1:22">
      <c r="A19" t="s">
        <v>24</v>
      </c>
      <c r="B19" s="8">
        <v>17528.32091039051</v>
      </c>
      <c r="C19" s="8">
        <v>20334.720397972236</v>
      </c>
      <c r="D19" s="8">
        <v>19797.355476447377</v>
      </c>
      <c r="E19" s="8">
        <v>17747.3528457514</v>
      </c>
      <c r="F19" s="8">
        <v>17191.279859999999</v>
      </c>
      <c r="G19" s="8">
        <v>14321.774509999999</v>
      </c>
      <c r="H19" s="8">
        <v>15764.882540000001</v>
      </c>
      <c r="I19" s="8">
        <v>18504.938969999999</v>
      </c>
      <c r="J19" s="8">
        <v>18500.65179</v>
      </c>
      <c r="K19" s="8"/>
      <c r="L19" s="8"/>
      <c r="M19" s="8"/>
      <c r="N19" s="8"/>
      <c r="O19" s="8"/>
      <c r="P19" s="8"/>
      <c r="Q19" s="8"/>
      <c r="S19" s="8"/>
      <c r="T19" s="8"/>
      <c r="U19" s="8"/>
      <c r="V19" s="8"/>
    </row>
    <row r="20" spans="1:22">
      <c r="A20" t="s">
        <v>25</v>
      </c>
      <c r="B20" s="8">
        <v>9108.5898167157247</v>
      </c>
      <c r="C20" s="8">
        <v>12536.359051375703</v>
      </c>
      <c r="D20" s="8">
        <v>8723.0269562967369</v>
      </c>
      <c r="E20" s="8">
        <v>5435.8184400730661</v>
      </c>
      <c r="F20" s="8">
        <v>7474.1740600000003</v>
      </c>
      <c r="G20" s="8">
        <v>7600.0419300000003</v>
      </c>
      <c r="H20" s="8">
        <v>8314.0301999999992</v>
      </c>
      <c r="I20" s="8">
        <v>9130.0119200000008</v>
      </c>
      <c r="J20" s="8">
        <v>9795.0850300000002</v>
      </c>
      <c r="K20" s="8"/>
      <c r="L20" s="8"/>
      <c r="M20" s="8"/>
      <c r="N20" s="8"/>
      <c r="O20" s="8"/>
      <c r="P20" s="8"/>
      <c r="Q20" s="8"/>
      <c r="S20" s="8"/>
      <c r="T20" s="8"/>
      <c r="U20" s="8"/>
      <c r="V20" s="8"/>
    </row>
    <row r="21" spans="1:22">
      <c r="A21" t="s">
        <v>26</v>
      </c>
      <c r="B21" s="8">
        <v>38801.00578803051</v>
      </c>
      <c r="C21" s="8">
        <v>56810.368327931305</v>
      </c>
      <c r="D21" s="8">
        <v>53412.419924408852</v>
      </c>
      <c r="E21" s="8">
        <v>54760.133662620086</v>
      </c>
      <c r="F21" s="8">
        <v>52919.556349999999</v>
      </c>
      <c r="G21" s="8">
        <v>46384.429270000001</v>
      </c>
      <c r="H21" s="8">
        <v>47006.149810000003</v>
      </c>
      <c r="I21" s="8">
        <v>47456.840109999997</v>
      </c>
      <c r="J21" s="8">
        <v>48495.782500000001</v>
      </c>
      <c r="K21" s="8"/>
      <c r="L21" s="8"/>
      <c r="M21" s="8"/>
      <c r="N21" s="8"/>
      <c r="O21" s="8"/>
      <c r="P21" s="8"/>
      <c r="Q21" s="8"/>
      <c r="S21" s="8"/>
      <c r="T21" s="8"/>
      <c r="U21" s="8"/>
      <c r="V21" s="8"/>
    </row>
    <row r="22" spans="1:22">
      <c r="A22" t="s">
        <v>27</v>
      </c>
      <c r="B22" s="8">
        <v>16910.806052313459</v>
      </c>
      <c r="C22" s="8">
        <v>21712.854424277186</v>
      </c>
      <c r="D22" s="8">
        <v>18060.231209179208</v>
      </c>
      <c r="E22" s="8">
        <v>13610.263553570465</v>
      </c>
      <c r="F22" s="8">
        <v>13352.49417</v>
      </c>
      <c r="G22" s="8">
        <v>11632.114659999999</v>
      </c>
      <c r="H22" s="8">
        <v>11336.701849999999</v>
      </c>
      <c r="I22" s="8">
        <v>12579.89832</v>
      </c>
      <c r="J22" s="8">
        <v>11936.13788</v>
      </c>
      <c r="K22" s="8"/>
      <c r="L22" s="8"/>
      <c r="M22" s="8"/>
      <c r="N22" s="8"/>
      <c r="O22" s="8"/>
      <c r="P22" s="8"/>
      <c r="Q22" s="8"/>
      <c r="S22" s="8"/>
      <c r="T22" s="8"/>
      <c r="U22" s="8"/>
      <c r="V22" s="8"/>
    </row>
    <row r="23" spans="1:22">
      <c r="A23" t="s">
        <v>28</v>
      </c>
      <c r="B23" s="8">
        <v>34157.290464507016</v>
      </c>
      <c r="C23" s="8">
        <v>36675.739647909781</v>
      </c>
      <c r="D23" s="8">
        <v>33954.436759486802</v>
      </c>
      <c r="E23" s="8">
        <v>32877.020297928924</v>
      </c>
      <c r="F23" s="8">
        <v>32312.17123</v>
      </c>
      <c r="G23" s="8">
        <v>31549.56581</v>
      </c>
      <c r="H23" s="8">
        <v>32502.007180000001</v>
      </c>
      <c r="I23" s="8">
        <v>29741.233199999999</v>
      </c>
      <c r="J23" s="8">
        <v>31868.9751</v>
      </c>
      <c r="K23" s="8"/>
      <c r="L23" s="8"/>
      <c r="M23" s="8"/>
      <c r="N23" s="8"/>
      <c r="O23" s="8"/>
      <c r="P23" s="8"/>
      <c r="Q23" s="8"/>
      <c r="S23" s="8"/>
      <c r="T23" s="8"/>
      <c r="U23" s="8"/>
      <c r="V23" s="8"/>
    </row>
    <row r="24" spans="1:22">
      <c r="A24" t="s">
        <v>29</v>
      </c>
      <c r="B24" s="8">
        <v>19852.735205473346</v>
      </c>
      <c r="C24" s="8">
        <v>20714.054925551925</v>
      </c>
      <c r="D24" s="8">
        <v>21069.598134803022</v>
      </c>
      <c r="E24" s="8">
        <v>16706.884194412229</v>
      </c>
      <c r="F24" s="8">
        <v>17005.317449999999</v>
      </c>
      <c r="G24" s="8">
        <v>15597.432119999999</v>
      </c>
      <c r="H24" s="8">
        <v>15668.03983</v>
      </c>
      <c r="I24" s="8">
        <v>14517.47309</v>
      </c>
      <c r="J24" s="8">
        <v>15640.336289999999</v>
      </c>
      <c r="K24" s="8"/>
      <c r="L24" s="8"/>
      <c r="M24" s="8"/>
      <c r="N24" s="8"/>
      <c r="O24" s="8"/>
      <c r="P24" s="8"/>
      <c r="Q24" s="8"/>
      <c r="S24" s="8"/>
      <c r="T24" s="8"/>
      <c r="U24" s="8"/>
      <c r="V24" s="8"/>
    </row>
    <row r="25" spans="1:22">
      <c r="A25" t="s">
        <v>30</v>
      </c>
      <c r="B25" s="8">
        <v>7199.6003488457436</v>
      </c>
      <c r="C25" s="8">
        <v>7096.6720259518161</v>
      </c>
      <c r="D25" s="8">
        <v>5297.7352458470814</v>
      </c>
      <c r="E25" s="8">
        <v>4503.3766064539304</v>
      </c>
      <c r="F25" s="8">
        <v>4467.7120100000002</v>
      </c>
      <c r="G25" s="8">
        <v>10081.245790000001</v>
      </c>
      <c r="H25" s="8">
        <v>10725.23501</v>
      </c>
      <c r="I25" s="8">
        <v>9278.8486699999994</v>
      </c>
      <c r="J25" s="8">
        <v>9456.0105600000006</v>
      </c>
      <c r="K25" s="8"/>
      <c r="L25" s="8"/>
      <c r="M25" s="8"/>
      <c r="N25" s="8"/>
      <c r="O25" s="8"/>
      <c r="P25" s="8"/>
      <c r="Q25" s="8"/>
      <c r="S25" s="8"/>
      <c r="T25" s="8"/>
      <c r="U25" s="8"/>
      <c r="V25" s="8"/>
    </row>
    <row r="26" spans="1:22">
      <c r="A26" t="s">
        <v>31</v>
      </c>
      <c r="B26" s="8">
        <v>4969.8829782377043</v>
      </c>
      <c r="C26" s="8">
        <v>10260.059882495701</v>
      </c>
      <c r="D26" s="8">
        <v>9309.8746047459481</v>
      </c>
      <c r="E26" s="8">
        <v>7575.3480620260716</v>
      </c>
      <c r="F26" s="8">
        <v>7369.1636900000003</v>
      </c>
      <c r="G26" s="8">
        <v>7950.1800599999997</v>
      </c>
      <c r="H26" s="8">
        <v>9662.0180400000008</v>
      </c>
      <c r="I26" s="8">
        <v>10582.362139999999</v>
      </c>
      <c r="J26" s="8">
        <v>9945.9229099999993</v>
      </c>
      <c r="K26" s="8"/>
      <c r="L26" s="8"/>
      <c r="M26" s="8"/>
      <c r="N26" s="8"/>
      <c r="O26" s="8"/>
      <c r="P26" s="8"/>
      <c r="Q26" s="8"/>
      <c r="S26" s="8"/>
      <c r="T26" s="8"/>
      <c r="U26" s="8"/>
      <c r="V26" s="8"/>
    </row>
    <row r="27" spans="1:22">
      <c r="A27" t="s">
        <v>32</v>
      </c>
      <c r="B27" s="8">
        <v>4245.8376876583661</v>
      </c>
      <c r="C27" s="8">
        <v>7377.8517672966545</v>
      </c>
      <c r="D27" s="8">
        <v>7506.6173069301303</v>
      </c>
      <c r="E27" s="8">
        <v>7271.1551850578571</v>
      </c>
      <c r="F27" s="8">
        <v>5712.3678</v>
      </c>
      <c r="G27" s="8">
        <v>4729.2894500000002</v>
      </c>
      <c r="H27" s="8">
        <v>4483.7867900000001</v>
      </c>
      <c r="I27" s="8">
        <v>5345.4367099999999</v>
      </c>
      <c r="J27" s="8">
        <v>5180.17497</v>
      </c>
      <c r="K27" s="8"/>
      <c r="L27" s="8"/>
      <c r="M27" s="8"/>
      <c r="N27" s="8"/>
      <c r="O27" s="8"/>
      <c r="P27" s="8"/>
      <c r="Q27" s="8"/>
      <c r="S27" s="8"/>
      <c r="T27" s="8"/>
      <c r="U27" s="8"/>
      <c r="V2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5df63da-2f15-49de-899a-d705f1a8db0c" xsi:nil="true"/>
    <lcf76f155ced4ddcb4097134ff3c332f xmlns="15df63da-2f15-49de-899a-d705f1a8db0c">
      <Terms xmlns="http://schemas.microsoft.com/office/infopath/2007/PartnerControls"/>
    </lcf76f155ced4ddcb4097134ff3c332f>
    <TaxCatchAll xmlns="ac5fe859-ab20-4672-9686-774a49c5571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F57D0479C18A4E88C5A615400EA865" ma:contentTypeVersion="17" ma:contentTypeDescription="Create a new document." ma:contentTypeScope="" ma:versionID="a31a38fbd84fef338f586ea59b7d6833">
  <xsd:schema xmlns:xsd="http://www.w3.org/2001/XMLSchema" xmlns:xs="http://www.w3.org/2001/XMLSchema" xmlns:p="http://schemas.microsoft.com/office/2006/metadata/properties" xmlns:ns2="ac5fe859-ab20-4672-9686-774a49c5571e" xmlns:ns3="15df63da-2f15-49de-899a-d705f1a8db0c" targetNamespace="http://schemas.microsoft.com/office/2006/metadata/properties" ma:root="true" ma:fieldsID="b8325e23a6294648ba3d373bf68b015a" ns2:_="" ns3:_="">
    <xsd:import namespace="ac5fe859-ab20-4672-9686-774a49c5571e"/>
    <xsd:import namespace="15df63da-2f15-49de-899a-d705f1a8db0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fe859-ab20-4672-9686-774a49c557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4bd84d3-ce96-4b9b-adb0-8af014478bd0}" ma:internalName="TaxCatchAll" ma:showField="CatchAllData" ma:web="ac5fe859-ab20-4672-9686-774a49c557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f63da-2f15-49de-899a-d705f1a8db0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d064433-6946-4087-8eac-53b4c5125d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1A46C-F7F4-4631-9D21-D3D6B6246FB4}">
  <ds:schemaRefs>
    <ds:schemaRef ds:uri="http://schemas.microsoft.com/sharepoint/v3/contenttype/forms"/>
  </ds:schemaRefs>
</ds:datastoreItem>
</file>

<file path=customXml/itemProps2.xml><?xml version="1.0" encoding="utf-8"?>
<ds:datastoreItem xmlns:ds="http://schemas.openxmlformats.org/officeDocument/2006/customXml" ds:itemID="{C04EB8AB-A97A-4761-B085-B234A57951C8}">
  <ds:schemaRefs>
    <ds:schemaRef ds:uri="http://purl.org/dc/elements/1.1/"/>
    <ds:schemaRef ds:uri="http://schemas.microsoft.com/office/2006/documentManagement/types"/>
    <ds:schemaRef ds:uri="ac5fe859-ab20-4672-9686-774a49c5571e"/>
    <ds:schemaRef ds:uri="http://purl.org/dc/terms/"/>
    <ds:schemaRef ds:uri="15df63da-2f15-49de-899a-d705f1a8db0c"/>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2E2B1EA-9BE5-4EEB-B73B-8B347FAC2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fe859-ab20-4672-9686-774a49c5571e"/>
    <ds:schemaRef ds:uri="15df63da-2f15-49de-899a-d705f1a8d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Capital Worksheet</vt:lpstr>
      <vt:lpstr>Facilities Renewal Worksheet</vt:lpstr>
      <vt:lpstr>EUI</vt:lpstr>
      <vt:lpstr>Campus Emission Factors</vt:lpstr>
      <vt:lpstr>Campus CZ</vt:lpstr>
      <vt:lpstr>Historical Campus Emissions </vt:lpstr>
      <vt:lpstr>BuildingTypes</vt:lpstr>
      <vt:lpstr>Campus</vt:lpstr>
      <vt:lpstr>Campus2</vt:lpstr>
      <vt:lpstr>'Capital Worksheet'!Print_Area</vt:lpstr>
      <vt:lpstr>'Facilities Renewal Worksheet'!Print_Area</vt:lpstr>
      <vt:lpstr>Instructions!Print_Area</vt:lpstr>
    </vt:vector>
  </TitlesOfParts>
  <Company>CSU Office of the Chancellor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GHG Emissions Worksheet</dc:title>
  <dc:creator>Clemson, Michael</dc:creator>
  <cp:lastModifiedBy>Clemson, Michael</cp:lastModifiedBy>
  <cp:lastPrinted>2016-05-13T03:55:38Z</cp:lastPrinted>
  <dcterms:created xsi:type="dcterms:W3CDTF">2015-11-24T18:08:05Z</dcterms:created>
  <dcterms:modified xsi:type="dcterms:W3CDTF">2023-04-14T18:22:08Z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0x01010094F57D0479C18A4E88C5A615400EA865</vt:lpwstr>
  </property>
  <property fmtid="{D5CDD505-2E9C-101B-9397-08002B2CF9AE}" pid="3" name="_dlc_DocIdItemGuid">
    <vt:lpwstr>91f02ab4-e23f-46d4-8c0d-df8727b4a904</vt:lpwstr>
  </property>
  <property fmtid="{D5CDD505-2E9C-101B-9397-08002B2CF9AE}" pid="4" name="Order">
    <vt:r8>100</vt:r8>
  </property>
  <property fmtid="{D5CDD505-2E9C-101B-9397-08002B2CF9AE}" pid="5" name="MediaServiceImageTags">
    <vt:lpwstr/>
  </property>
</Properties>
</file>